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0" windowWidth="24720" windowHeight="15180" activeTab="0"/>
  </bookViews>
  <sheets>
    <sheet name="Summary" sheetId="1" r:id="rId1"/>
    <sheet name="Budget" sheetId="2" r:id="rId2"/>
    <sheet name="Salaries" sheetId="3" r:id="rId3"/>
  </sheets>
  <definedNames>
    <definedName name="_xlnm.Print_Area" localSheetId="1">'Budget'!$A:$R</definedName>
  </definedNames>
  <calcPr fullCalcOnLoad="1"/>
</workbook>
</file>

<file path=xl/sharedStrings.xml><?xml version="1.0" encoding="utf-8"?>
<sst xmlns="http://schemas.openxmlformats.org/spreadsheetml/2006/main" count="208" uniqueCount="163">
  <si>
    <t>Program Name:</t>
  </si>
  <si>
    <t>Literacy Program</t>
  </si>
  <si>
    <t>REVENUE</t>
  </si>
  <si>
    <t>Acct No.</t>
  </si>
  <si>
    <t xml:space="preserve">                   Accounts, Sub Account(s) </t>
  </si>
  <si>
    <t>Public Support</t>
  </si>
  <si>
    <t>Donations</t>
  </si>
  <si>
    <t>Unrestricted Donations</t>
  </si>
  <si>
    <t>Individuals</t>
  </si>
  <si>
    <t>Corporate/Business</t>
  </si>
  <si>
    <t>Other Organizations</t>
  </si>
  <si>
    <t>Restricted Donations</t>
  </si>
  <si>
    <t>United Way Rev</t>
  </si>
  <si>
    <t>United Way Allocation</t>
  </si>
  <si>
    <t>Foundation Grants</t>
  </si>
  <si>
    <t>Human Race Pledges</t>
  </si>
  <si>
    <t>Human Race Pledges Allocated</t>
  </si>
  <si>
    <t>Grants and Contracts</t>
  </si>
  <si>
    <t>State</t>
  </si>
  <si>
    <t>11.1 CDE-231</t>
  </si>
  <si>
    <t>11.2 CDE-CIVICS</t>
  </si>
  <si>
    <t>Other Revenue</t>
  </si>
  <si>
    <t>Fees Revenue</t>
  </si>
  <si>
    <t>Materials Fees</t>
  </si>
  <si>
    <t>Other Earnings</t>
  </si>
  <si>
    <t>Unrealized Gain/Loss</t>
  </si>
  <si>
    <t>Interest Earned</t>
  </si>
  <si>
    <t>Total Program Revenues</t>
  </si>
  <si>
    <t>EXPENSES</t>
  </si>
  <si>
    <t>Salaries and Wages</t>
  </si>
  <si>
    <t>Hourly Wages</t>
  </si>
  <si>
    <t>Vacation, PTO Accurals</t>
  </si>
  <si>
    <t>Benefits</t>
  </si>
  <si>
    <t>Medical/Dental Insurance</t>
  </si>
  <si>
    <t>Other Benefits</t>
  </si>
  <si>
    <t>Workers Compensation</t>
  </si>
  <si>
    <t>Payroll Taxes</t>
  </si>
  <si>
    <t>Social Security/Medicare</t>
  </si>
  <si>
    <t>State UI Taxes</t>
  </si>
  <si>
    <t>Advertising Expense</t>
  </si>
  <si>
    <t>Employee Recruitment</t>
  </si>
  <si>
    <t>Auditing Expense</t>
  </si>
  <si>
    <t>Copies Expense</t>
  </si>
  <si>
    <t>Fundraising Expenses</t>
  </si>
  <si>
    <t>Equipment, Capital</t>
  </si>
  <si>
    <t>Facility Maintenance</t>
  </si>
  <si>
    <t>Insurance, General</t>
  </si>
  <si>
    <t>Insurance, Volunteer</t>
  </si>
  <si>
    <t>Memberships/Fees</t>
  </si>
  <si>
    <t>Miscellaneous Expense</t>
  </si>
  <si>
    <t>Postage Expense</t>
  </si>
  <si>
    <t>Printing</t>
  </si>
  <si>
    <t>Rent, Watsonville</t>
  </si>
  <si>
    <t>Security</t>
  </si>
  <si>
    <t>Supplies, Office</t>
  </si>
  <si>
    <t>Supplies, Program</t>
  </si>
  <si>
    <t>Telephone</t>
  </si>
  <si>
    <t>Utilities</t>
  </si>
  <si>
    <t>Volunteer Recognition</t>
  </si>
  <si>
    <t>Admin Fees</t>
  </si>
  <si>
    <t>Total Program expense</t>
  </si>
  <si>
    <t>Learning Materials</t>
  </si>
  <si>
    <t>TOTAL PUBLIC SUPPORT</t>
  </si>
  <si>
    <t>TOTAL GRANTS &amp; CONTRACTS</t>
  </si>
  <si>
    <t>TOTAL OTHER REVENUE</t>
  </si>
  <si>
    <t>COMP/PTO Accruals</t>
  </si>
  <si>
    <t>TOTAL SALARIES AND WAGES</t>
  </si>
  <si>
    <t>TOTAL BENEFITS</t>
  </si>
  <si>
    <t>TOTAL PAYROLL TAXES</t>
  </si>
  <si>
    <t>TOTAL ADVERTISING EXPENSE</t>
  </si>
  <si>
    <t>PayPal Charges</t>
  </si>
  <si>
    <t>TOTAL SUPPLIES, PROGRAM</t>
  </si>
  <si>
    <t>TOTAL EXPENSE</t>
  </si>
  <si>
    <t>TOTAL FOUNDATION GRANTS</t>
  </si>
  <si>
    <t>Other Foundations</t>
  </si>
  <si>
    <t>Mileage, Staff</t>
  </si>
  <si>
    <t>Program Ads</t>
  </si>
  <si>
    <t>Budget 2012-2013</t>
  </si>
  <si>
    <t>Community Foundation of SCC</t>
  </si>
  <si>
    <t>County of Santa Cruz/Jail</t>
  </si>
  <si>
    <t>staff</t>
  </si>
  <si>
    <t>Genie</t>
  </si>
  <si>
    <t>Gisela</t>
  </si>
  <si>
    <t>totals</t>
  </si>
  <si>
    <t>Contingency Funds (2% of expenses):</t>
  </si>
  <si>
    <t>Donor Support</t>
  </si>
  <si>
    <t>%</t>
  </si>
  <si>
    <t>Total incr</t>
  </si>
  <si>
    <t>FY 13-14</t>
  </si>
  <si>
    <t>Personnel incr</t>
  </si>
  <si>
    <t>Class</t>
  </si>
  <si>
    <t>No.</t>
  </si>
  <si>
    <t>Total</t>
  </si>
  <si>
    <t>ESL</t>
  </si>
  <si>
    <t>Civic</t>
  </si>
  <si>
    <t>Cost per student</t>
  </si>
  <si>
    <t>includes bank fees</t>
  </si>
  <si>
    <t>Training and Conferences</t>
  </si>
  <si>
    <t>TOTAL ADMINISTRATION</t>
  </si>
  <si>
    <t>Contract Service Expense</t>
  </si>
  <si>
    <t>BLUE = COMMITTED</t>
  </si>
  <si>
    <t>TOTALS</t>
  </si>
  <si>
    <t>PR tax</t>
  </si>
  <si>
    <t>VacPTOaccr</t>
  </si>
  <si>
    <t>CompPTOaccr</t>
  </si>
  <si>
    <t>Wcomp</t>
  </si>
  <si>
    <t>Budget 2013-2014</t>
  </si>
  <si>
    <t>Omega Nu/other</t>
  </si>
  <si>
    <t>pre-increase</t>
  </si>
  <si>
    <t>post-increase</t>
  </si>
  <si>
    <t>Misc. Income</t>
  </si>
  <si>
    <t>NET INCOME</t>
  </si>
  <si>
    <t>Budget 2014-2015</t>
  </si>
  <si>
    <t>FY 14-15</t>
  </si>
  <si>
    <t>CDE</t>
  </si>
  <si>
    <t>Other</t>
  </si>
  <si>
    <t>Decrease</t>
  </si>
  <si>
    <t>TJX Foundation</t>
  </si>
  <si>
    <t>TOTAL BUDGET</t>
  </si>
  <si>
    <t xml:space="preserve">Donations </t>
  </si>
  <si>
    <t>Other Grants</t>
  </si>
  <si>
    <t xml:space="preserve">Probation Dept. Contract </t>
  </si>
  <si>
    <t xml:space="preserve">CA Dept. of Education </t>
  </si>
  <si>
    <t>Human Race</t>
  </si>
  <si>
    <t xml:space="preserve">Earned Income </t>
  </si>
  <si>
    <t xml:space="preserve">TOTAL </t>
  </si>
  <si>
    <t xml:space="preserve">Staff Salaries </t>
  </si>
  <si>
    <t xml:space="preserve">Payroll Tax and Benefits </t>
  </si>
  <si>
    <t xml:space="preserve">Operating Expense (books, rent, etc.) </t>
  </si>
  <si>
    <t xml:space="preserve">Administration </t>
  </si>
  <si>
    <t>Contingency</t>
  </si>
  <si>
    <t>TOTAL DONATIONS</t>
  </si>
  <si>
    <t>ASE</t>
  </si>
  <si>
    <t>Admin Costs:</t>
  </si>
  <si>
    <t>Equipment Repair</t>
  </si>
  <si>
    <t>Rent, Storage Space</t>
  </si>
  <si>
    <t>Q1 reported</t>
  </si>
  <si>
    <t>Q2 reported</t>
  </si>
  <si>
    <t>WIA funds</t>
  </si>
  <si>
    <t>YE Projected</t>
  </si>
  <si>
    <t>YE Projection</t>
  </si>
  <si>
    <t>St. John's</t>
  </si>
  <si>
    <t>PEO, ROTARIES</t>
  </si>
  <si>
    <t>FY 13-14 Year-End Actuals</t>
  </si>
  <si>
    <t>Draft Budget FY 15-16</t>
  </si>
  <si>
    <t>Per unit, 14-15</t>
  </si>
  <si>
    <t>admin fees:</t>
  </si>
  <si>
    <t>Shared IT Costs</t>
  </si>
  <si>
    <t>FY 15-16</t>
  </si>
  <si>
    <t>Carryover from previous years</t>
  </si>
  <si>
    <t>ProLit=2K in-kind</t>
  </si>
  <si>
    <t>Actuals as of June 2015</t>
  </si>
  <si>
    <t>At 100% of Year</t>
  </si>
  <si>
    <t>LITERACY PROGRAM SUMMARY BUDGET FY 15-16</t>
  </si>
  <si>
    <t>Per hour/avg</t>
  </si>
  <si>
    <t>CDE Grant:</t>
  </si>
  <si>
    <t>11.2 EL CIV</t>
  </si>
  <si>
    <t>11.1 Sec.231</t>
  </si>
  <si>
    <t>CDE Grant</t>
  </si>
  <si>
    <t>Actuals as of Sept 2015</t>
  </si>
  <si>
    <t>At 25% of year</t>
  </si>
  <si>
    <t>Budget FY 15-16 rev.2</t>
  </si>
  <si>
    <t>new phones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</si>
</sst>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_(* #,##0_);_(* \(#,##0\);_(* &quot;-&quot;??_);_(@_)"/>
    <numFmt numFmtId="166" formatCode="0.0%"/>
    <numFmt numFmtId="167" formatCode="0_);\(0\)"/>
    <numFmt numFmtId="168" formatCode="_(* #,##0.0_);_(* \(#,##0.0\);_(* &quot;-&quot;?_);_(@_)"/>
    <numFmt numFmtId="169" formatCode="0.000"/>
    <numFmt numFmtId="170" formatCode="0.0"/>
    <numFmt numFmtId="171" formatCode="0.00000"/>
    <numFmt numFmtId="172" formatCode="0.0000"/>
    <numFmt numFmtId="173" formatCode="0.0000000"/>
    <numFmt numFmtId="174" formatCode="0.000000"/>
    <numFmt numFmtId="175" formatCode="#,##0.0"/>
    <numFmt numFmtId="176" formatCode="#,##0.000"/>
    <numFmt numFmtId="177" formatCode="_(* #,##0.0_);_(* \(#,##0.0\);_(* &quot;-&quot;??_);_(@_)"/>
    <numFmt numFmtId="178" formatCode="#,##0.0000"/>
    <numFmt numFmtId="179" formatCode="_(&quot;$&quot;* #,##0_);_(&quot;$&quot;* \(#,##0\);_(&quot;$&quot;* &quot;-&quot;??_);_(@_)"/>
    <numFmt numFmtId="180" formatCode="#,##0.00000"/>
  </numFmts>
  <fonts count="23">
    <font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1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6"/>
      <color indexed="8"/>
      <name val="Calibri"/>
      <family val="0"/>
    </font>
    <font>
      <sz val="16"/>
      <color theme="1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medium"/>
      <top style="thick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0" fillId="4" borderId="7" applyNumberFormat="0" applyFont="0" applyAlignment="0" applyProtection="0"/>
    <xf numFmtId="0" fontId="14" fillId="2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1" fontId="18" fillId="4" borderId="10" xfId="0" applyNumberFormat="1" applyFont="1" applyFill="1" applyBorder="1" applyAlignment="1" applyProtection="1">
      <alignment/>
      <protection hidden="1"/>
    </xf>
    <xf numFmtId="1" fontId="18" fillId="4" borderId="11" xfId="0" applyNumberFormat="1" applyFont="1" applyFill="1" applyBorder="1" applyAlignment="1" applyProtection="1">
      <alignment/>
      <protection hidden="1"/>
    </xf>
    <xf numFmtId="3" fontId="0" fillId="0" borderId="0" xfId="0" applyNumberFormat="1" applyAlignment="1">
      <alignment/>
    </xf>
    <xf numFmtId="3" fontId="20" fillId="0" borderId="0" xfId="0" applyNumberFormat="1" applyFont="1" applyAlignment="1">
      <alignment horizontal="center"/>
    </xf>
    <xf numFmtId="3" fontId="18" fillId="4" borderId="12" xfId="0" applyNumberFormat="1" applyFont="1" applyFill="1" applyBorder="1" applyAlignment="1" applyProtection="1">
      <alignment/>
      <protection hidden="1"/>
    </xf>
    <xf numFmtId="3" fontId="18" fillId="4" borderId="12" xfId="0" applyNumberFormat="1" applyFont="1" applyFill="1" applyBorder="1" applyAlignment="1" applyProtection="1">
      <alignment horizontal="left"/>
      <protection hidden="1"/>
    </xf>
    <xf numFmtId="3" fontId="18" fillId="4" borderId="13" xfId="0" applyNumberFormat="1" applyFont="1" applyFill="1" applyBorder="1" applyAlignment="1" applyProtection="1">
      <alignment/>
      <protection hidden="1"/>
    </xf>
    <xf numFmtId="3" fontId="18" fillId="4" borderId="14" xfId="0" applyNumberFormat="1" applyFont="1" applyFill="1" applyBorder="1" applyAlignment="1" applyProtection="1">
      <alignment vertical="center"/>
      <protection hidden="1"/>
    </xf>
    <xf numFmtId="3" fontId="18" fillId="4" borderId="15" xfId="0" applyNumberFormat="1" applyFont="1" applyFill="1" applyBorder="1" applyAlignment="1" applyProtection="1">
      <alignment/>
      <protection hidden="1"/>
    </xf>
    <xf numFmtId="3" fontId="18" fillId="4" borderId="16" xfId="0" applyNumberFormat="1" applyFont="1" applyFill="1" applyBorder="1" applyAlignment="1" applyProtection="1">
      <alignment/>
      <protection hidden="1"/>
    </xf>
    <xf numFmtId="3" fontId="18" fillId="4" borderId="12" xfId="0" applyNumberFormat="1" applyFont="1" applyFill="1" applyBorder="1" applyAlignment="1" applyProtection="1">
      <alignment horizontal="right"/>
      <protection hidden="1"/>
    </xf>
    <xf numFmtId="9" fontId="0" fillId="0" borderId="0" xfId="57" applyFont="1" applyAlignment="1">
      <alignment/>
    </xf>
    <xf numFmtId="10" fontId="0" fillId="0" borderId="0" xfId="57" applyNumberFormat="1" applyFont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3" fontId="18" fillId="4" borderId="17" xfId="0" applyNumberFormat="1" applyFont="1" applyFill="1" applyBorder="1" applyAlignment="1" applyProtection="1">
      <alignment/>
      <protection hidden="1"/>
    </xf>
    <xf numFmtId="3" fontId="20" fillId="0" borderId="18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20" fillId="0" borderId="0" xfId="0" applyNumberFormat="1" applyFont="1" applyFill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42" applyNumberFormat="1" applyFont="1" applyAlignment="1">
      <alignment/>
    </xf>
    <xf numFmtId="3" fontId="0" fillId="6" borderId="19" xfId="42" applyNumberFormat="1" applyFont="1" applyFill="1" applyBorder="1" applyAlignment="1">
      <alignment horizontal="center" wrapText="1"/>
    </xf>
    <xf numFmtId="3" fontId="20" fillId="0" borderId="20" xfId="42" applyNumberFormat="1" applyFont="1" applyFill="1" applyBorder="1" applyAlignment="1">
      <alignment horizontal="center" wrapText="1"/>
    </xf>
    <xf numFmtId="3" fontId="0" fillId="6" borderId="0" xfId="42" applyNumberFormat="1" applyFont="1" applyFill="1" applyBorder="1" applyAlignment="1">
      <alignment/>
    </xf>
    <xf numFmtId="3" fontId="0" fillId="6" borderId="0" xfId="42" applyNumberFormat="1" applyFont="1" applyFill="1" applyBorder="1" applyAlignment="1">
      <alignment horizontal="center" wrapText="1"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20" fillId="17" borderId="21" xfId="0" applyNumberFormat="1" applyFont="1" applyFill="1" applyBorder="1" applyAlignment="1">
      <alignment/>
    </xf>
    <xf numFmtId="3" fontId="20" fillId="17" borderId="22" xfId="0" applyNumberFormat="1" applyFont="1" applyFill="1" applyBorder="1" applyAlignment="1">
      <alignment/>
    </xf>
    <xf numFmtId="3" fontId="20" fillId="6" borderId="21" xfId="42" applyNumberFormat="1" applyFont="1" applyFill="1" applyBorder="1" applyAlignment="1">
      <alignment/>
    </xf>
    <xf numFmtId="3" fontId="0" fillId="0" borderId="0" xfId="42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0" fontId="0" fillId="18" borderId="23" xfId="0" applyFont="1" applyFill="1" applyBorder="1" applyAlignment="1">
      <alignment/>
    </xf>
    <xf numFmtId="0" fontId="0" fillId="18" borderId="24" xfId="0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6" borderId="15" xfId="42" applyNumberFormat="1" applyFont="1" applyFill="1" applyBorder="1" applyAlignment="1">
      <alignment horizontal="center" wrapText="1"/>
    </xf>
    <xf numFmtId="3" fontId="0" fillId="6" borderId="26" xfId="42" applyNumberFormat="1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18" xfId="42" applyNumberFormat="1" applyFont="1" applyFill="1" applyBorder="1" applyAlignment="1">
      <alignment/>
    </xf>
    <xf numFmtId="3" fontId="0" fillId="0" borderId="17" xfId="42" applyNumberFormat="1" applyFont="1" applyBorder="1" applyAlignment="1">
      <alignment/>
    </xf>
    <xf numFmtId="3" fontId="20" fillId="17" borderId="25" xfId="0" applyNumberFormat="1" applyFont="1" applyFill="1" applyBorder="1" applyAlignment="1">
      <alignment/>
    </xf>
    <xf numFmtId="3" fontId="20" fillId="17" borderId="27" xfId="0" applyNumberFormat="1" applyFont="1" applyFill="1" applyBorder="1" applyAlignment="1">
      <alignment/>
    </xf>
    <xf numFmtId="3" fontId="20" fillId="6" borderId="25" xfId="42" applyNumberFormat="1" applyFont="1" applyFill="1" applyBorder="1" applyAlignment="1">
      <alignment/>
    </xf>
    <xf numFmtId="3" fontId="20" fillId="17" borderId="17" xfId="42" applyNumberFormat="1" applyFont="1" applyFill="1" applyBorder="1" applyAlignment="1">
      <alignment/>
    </xf>
    <xf numFmtId="3" fontId="0" fillId="0" borderId="0" xfId="0" applyNumberFormat="1" applyFont="1" applyFill="1" applyAlignment="1" quotePrefix="1">
      <alignment/>
    </xf>
    <xf numFmtId="3" fontId="0" fillId="0" borderId="0" xfId="0" applyNumberFormat="1" applyFont="1" applyFill="1" applyBorder="1" applyAlignment="1">
      <alignment/>
    </xf>
    <xf numFmtId="3" fontId="0" fillId="0" borderId="0" xfId="42" applyNumberFormat="1" applyFont="1" applyFill="1" applyBorder="1" applyAlignment="1">
      <alignment/>
    </xf>
    <xf numFmtId="9" fontId="0" fillId="18" borderId="28" xfId="57" applyFont="1" applyFill="1" applyBorder="1" applyAlignment="1">
      <alignment/>
    </xf>
    <xf numFmtId="9" fontId="0" fillId="18" borderId="21" xfId="57" applyFont="1" applyFill="1" applyBorder="1" applyAlignment="1">
      <alignment/>
    </xf>
    <xf numFmtId="9" fontId="0" fillId="0" borderId="0" xfId="57" applyFont="1" applyBorder="1" applyAlignment="1">
      <alignment/>
    </xf>
    <xf numFmtId="3" fontId="18" fillId="4" borderId="29" xfId="0" applyNumberFormat="1" applyFont="1" applyFill="1" applyBorder="1" applyAlignment="1" applyProtection="1">
      <alignment vertical="center" wrapText="1"/>
      <protection hidden="1"/>
    </xf>
    <xf numFmtId="3" fontId="18" fillId="4" borderId="19" xfId="0" applyNumberFormat="1" applyFont="1" applyFill="1" applyBorder="1" applyAlignment="1" applyProtection="1">
      <alignment wrapText="1"/>
      <protection hidden="1"/>
    </xf>
    <xf numFmtId="3" fontId="18" fillId="4" borderId="30" xfId="0" applyNumberFormat="1" applyFont="1" applyFill="1" applyBorder="1" applyAlignment="1" applyProtection="1">
      <alignment wrapText="1"/>
      <protection hidden="1"/>
    </xf>
    <xf numFmtId="3" fontId="20" fillId="0" borderId="0" xfId="0" applyNumberFormat="1" applyFont="1" applyAlignment="1">
      <alignment horizontal="center" wrapText="1"/>
    </xf>
    <xf numFmtId="3" fontId="0" fillId="0" borderId="0" xfId="0" applyNumberFormat="1" applyFont="1" applyAlignment="1">
      <alignment wrapText="1"/>
    </xf>
    <xf numFmtId="9" fontId="20" fillId="0" borderId="20" xfId="57" applyFont="1" applyBorder="1" applyAlignment="1">
      <alignment horizontal="center" wrapText="1"/>
    </xf>
    <xf numFmtId="3" fontId="0" fillId="0" borderId="12" xfId="42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18" fillId="4" borderId="0" xfId="0" applyNumberFormat="1" applyFont="1" applyFill="1" applyBorder="1" applyAlignment="1" applyProtection="1">
      <alignment horizontal="right"/>
      <protection hidden="1"/>
    </xf>
    <xf numFmtId="3" fontId="18" fillId="4" borderId="32" xfId="0" applyNumberFormat="1" applyFont="1" applyFill="1" applyBorder="1" applyAlignment="1" applyProtection="1">
      <alignment horizontal="right"/>
      <protection hidden="1"/>
    </xf>
    <xf numFmtId="3" fontId="0" fillId="6" borderId="0" xfId="42" applyNumberFormat="1" applyFont="1" applyFill="1" applyBorder="1" applyAlignment="1">
      <alignment horizontal="right" wrapText="1"/>
    </xf>
    <xf numFmtId="3" fontId="18" fillId="4" borderId="0" xfId="0" applyNumberFormat="1" applyFont="1" applyFill="1" applyBorder="1" applyAlignment="1" applyProtection="1">
      <alignment horizontal="left" vertical="center"/>
      <protection hidden="1"/>
    </xf>
    <xf numFmtId="1" fontId="20" fillId="0" borderId="0" xfId="0" applyNumberFormat="1" applyFont="1" applyAlignment="1">
      <alignment/>
    </xf>
    <xf numFmtId="1" fontId="18" fillId="4" borderId="20" xfId="0" applyNumberFormat="1" applyFont="1" applyFill="1" applyBorder="1" applyAlignment="1" applyProtection="1">
      <alignment horizontal="center" wrapText="1"/>
      <protection hidden="1"/>
    </xf>
    <xf numFmtId="1" fontId="18" fillId="4" borderId="18" xfId="0" applyNumberFormat="1" applyFont="1" applyFill="1" applyBorder="1" applyAlignment="1" applyProtection="1">
      <alignment/>
      <protection hidden="1"/>
    </xf>
    <xf numFmtId="1" fontId="0" fillId="0" borderId="18" xfId="0" applyNumberFormat="1" applyFont="1" applyBorder="1" applyAlignment="1">
      <alignment/>
    </xf>
    <xf numFmtId="1" fontId="20" fillId="17" borderId="24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1" fontId="18" fillId="4" borderId="33" xfId="0" applyNumberFormat="1" applyFont="1" applyFill="1" applyBorder="1" applyAlignment="1" applyProtection="1">
      <alignment horizontal="center" wrapText="1"/>
      <protection hidden="1"/>
    </xf>
    <xf numFmtId="1" fontId="18" fillId="4" borderId="34" xfId="0" applyNumberFormat="1" applyFont="1" applyFill="1" applyBorder="1" applyAlignment="1" applyProtection="1">
      <alignment horizontal="right" wrapText="1"/>
      <protection hidden="1"/>
    </xf>
    <xf numFmtId="1" fontId="20" fillId="17" borderId="35" xfId="0" applyNumberFormat="1" applyFont="1" applyFill="1" applyBorder="1" applyAlignment="1">
      <alignment/>
    </xf>
    <xf numFmtId="3" fontId="0" fillId="0" borderId="12" xfId="42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6" borderId="36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0" fillId="0" borderId="13" xfId="42" applyNumberFormat="1" applyFont="1" applyFill="1" applyBorder="1" applyAlignment="1">
      <alignment/>
    </xf>
    <xf numFmtId="3" fontId="0" fillId="0" borderId="13" xfId="42" applyNumberFormat="1" applyFont="1" applyBorder="1" applyAlignment="1">
      <alignment/>
    </xf>
    <xf numFmtId="3" fontId="20" fillId="17" borderId="13" xfId="42" applyNumberFormat="1" applyFont="1" applyFill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31" xfId="0" applyNumberFormat="1" applyFont="1" applyFill="1" applyBorder="1" applyAlignment="1">
      <alignment horizontal="right"/>
    </xf>
    <xf numFmtId="3" fontId="20" fillId="17" borderId="39" xfId="42" applyNumberFormat="1" applyFont="1" applyFill="1" applyBorder="1" applyAlignment="1">
      <alignment/>
    </xf>
    <xf numFmtId="3" fontId="0" fillId="19" borderId="0" xfId="0" applyNumberFormat="1" applyFont="1" applyFill="1" applyAlignment="1" quotePrefix="1">
      <alignment/>
    </xf>
    <xf numFmtId="3" fontId="0" fillId="0" borderId="40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57" applyNumberFormat="1" applyFont="1" applyAlignment="1">
      <alignment/>
    </xf>
    <xf numFmtId="3" fontId="0" fillId="0" borderId="0" xfId="57" applyNumberFormat="1" applyFont="1" applyBorder="1" applyAlignment="1">
      <alignment/>
    </xf>
    <xf numFmtId="0" fontId="0" fillId="18" borderId="41" xfId="0" applyFont="1" applyFill="1" applyBorder="1" applyAlignment="1">
      <alignment/>
    </xf>
    <xf numFmtId="3" fontId="20" fillId="0" borderId="20" xfId="57" applyNumberFormat="1" applyFont="1" applyBorder="1" applyAlignment="1">
      <alignment horizontal="center" wrapText="1"/>
    </xf>
    <xf numFmtId="166" fontId="0" fillId="0" borderId="0" xfId="57" applyNumberFormat="1" applyFont="1" applyAlignment="1">
      <alignment/>
    </xf>
    <xf numFmtId="176" fontId="18" fillId="4" borderId="12" xfId="0" applyNumberFormat="1" applyFont="1" applyFill="1" applyBorder="1" applyAlignment="1" applyProtection="1">
      <alignment/>
      <protection hidden="1"/>
    </xf>
    <xf numFmtId="9" fontId="0" fillId="18" borderId="0" xfId="57" applyFont="1" applyFill="1" applyBorder="1" applyAlignment="1">
      <alignment/>
    </xf>
    <xf numFmtId="0" fontId="0" fillId="0" borderId="0" xfId="0" applyFont="1" applyBorder="1" applyAlignment="1">
      <alignment horizontal="right"/>
    </xf>
    <xf numFmtId="172" fontId="0" fillId="0" borderId="0" xfId="0" applyNumberFormat="1" applyAlignment="1">
      <alignment/>
    </xf>
    <xf numFmtId="3" fontId="0" fillId="0" borderId="29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3" fontId="0" fillId="0" borderId="42" xfId="57" applyNumberFormat="1" applyFont="1" applyBorder="1" applyAlignment="1">
      <alignment/>
    </xf>
    <xf numFmtId="3" fontId="0" fillId="0" borderId="17" xfId="57" applyNumberFormat="1" applyFont="1" applyBorder="1" applyAlignment="1">
      <alignment/>
    </xf>
    <xf numFmtId="3" fontId="20" fillId="0" borderId="39" xfId="0" applyNumberFormat="1" applyFont="1" applyFill="1" applyBorder="1" applyAlignment="1">
      <alignment/>
    </xf>
    <xf numFmtId="3" fontId="20" fillId="0" borderId="43" xfId="57" applyNumberFormat="1" applyFont="1" applyBorder="1" applyAlignment="1">
      <alignment horizontal="center" wrapText="1"/>
    </xf>
    <xf numFmtId="3" fontId="0" fillId="0" borderId="44" xfId="57" applyNumberFormat="1" applyFont="1" applyBorder="1" applyAlignment="1">
      <alignment/>
    </xf>
    <xf numFmtId="3" fontId="0" fillId="0" borderId="11" xfId="57" applyNumberFormat="1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20" fillId="0" borderId="45" xfId="0" applyNumberFormat="1" applyFont="1" applyFill="1" applyBorder="1" applyAlignment="1">
      <alignment/>
    </xf>
    <xf numFmtId="3" fontId="0" fillId="0" borderId="17" xfId="57" applyNumberFormat="1" applyFont="1" applyBorder="1" applyAlignment="1">
      <alignment horizontal="right"/>
    </xf>
    <xf numFmtId="3" fontId="0" fillId="0" borderId="17" xfId="42" applyNumberFormat="1" applyFont="1" applyFill="1" applyBorder="1" applyAlignment="1">
      <alignment/>
    </xf>
    <xf numFmtId="3" fontId="0" fillId="0" borderId="17" xfId="57" applyNumberFormat="1" applyFont="1" applyFill="1" applyBorder="1" applyAlignment="1">
      <alignment/>
    </xf>
    <xf numFmtId="3" fontId="0" fillId="0" borderId="17" xfId="42" applyNumberFormat="1" applyFont="1" applyFill="1" applyBorder="1" applyAlignment="1">
      <alignment horizontal="right"/>
    </xf>
    <xf numFmtId="3" fontId="20" fillId="17" borderId="40" xfId="42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11" xfId="57" applyNumberFormat="1" applyFont="1" applyFill="1" applyBorder="1" applyAlignment="1">
      <alignment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/>
    </xf>
    <xf numFmtId="3" fontId="0" fillId="0" borderId="17" xfId="57" applyNumberFormat="1" applyFont="1" applyFill="1" applyBorder="1" applyAlignment="1">
      <alignment/>
    </xf>
    <xf numFmtId="3" fontId="0" fillId="0" borderId="11" xfId="57" applyNumberFormat="1" applyFont="1" applyFill="1" applyBorder="1" applyAlignment="1">
      <alignment/>
    </xf>
    <xf numFmtId="3" fontId="20" fillId="17" borderId="46" xfId="42" applyNumberFormat="1" applyFont="1" applyFill="1" applyBorder="1" applyAlignment="1">
      <alignment/>
    </xf>
    <xf numFmtId="3" fontId="20" fillId="0" borderId="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 horizontal="center"/>
    </xf>
    <xf numFmtId="3" fontId="20" fillId="17" borderId="0" xfId="42" applyNumberFormat="1" applyFont="1" applyFill="1" applyBorder="1" applyAlignment="1">
      <alignment/>
    </xf>
    <xf numFmtId="0" fontId="0" fillId="0" borderId="32" xfId="0" applyBorder="1" applyAlignment="1">
      <alignment horizontal="right"/>
    </xf>
    <xf numFmtId="1" fontId="0" fillId="0" borderId="32" xfId="0" applyNumberFormat="1" applyBorder="1" applyAlignment="1">
      <alignment horizontal="right"/>
    </xf>
    <xf numFmtId="9" fontId="0" fillId="0" borderId="44" xfId="57" applyFont="1" applyBorder="1" applyAlignment="1">
      <alignment/>
    </xf>
    <xf numFmtId="9" fontId="0" fillId="0" borderId="11" xfId="57" applyFont="1" applyBorder="1" applyAlignment="1">
      <alignment/>
    </xf>
    <xf numFmtId="0" fontId="22" fillId="0" borderId="18" xfId="0" applyFont="1" applyBorder="1" applyAlignment="1">
      <alignment/>
    </xf>
    <xf numFmtId="165" fontId="22" fillId="0" borderId="18" xfId="42" applyNumberFormat="1" applyFont="1" applyBorder="1" applyAlignment="1">
      <alignment/>
    </xf>
    <xf numFmtId="9" fontId="22" fillId="0" borderId="18" xfId="0" applyNumberFormat="1" applyFont="1" applyBorder="1" applyAlignment="1">
      <alignment/>
    </xf>
    <xf numFmtId="179" fontId="22" fillId="0" borderId="18" xfId="44" applyNumberFormat="1" applyFont="1" applyBorder="1" applyAlignment="1">
      <alignment/>
    </xf>
    <xf numFmtId="9" fontId="22" fillId="0" borderId="18" xfId="57" applyFont="1" applyBorder="1" applyAlignment="1">
      <alignment/>
    </xf>
    <xf numFmtId="3" fontId="18" fillId="4" borderId="18" xfId="0" applyNumberFormat="1" applyFont="1" applyFill="1" applyBorder="1" applyAlignment="1" applyProtection="1">
      <alignment/>
      <protection hidden="1"/>
    </xf>
    <xf numFmtId="1" fontId="18" fillId="4" borderId="18" xfId="42" applyNumberFormat="1" applyFont="1" applyFill="1" applyBorder="1" applyAlignment="1" applyProtection="1">
      <alignment horizontal="right" wrapText="1"/>
      <protection hidden="1"/>
    </xf>
    <xf numFmtId="3" fontId="18" fillId="4" borderId="18" xfId="0" applyNumberFormat="1" applyFont="1" applyFill="1" applyBorder="1" applyAlignment="1" applyProtection="1">
      <alignment vertical="center"/>
      <protection hidden="1"/>
    </xf>
    <xf numFmtId="3" fontId="0" fillId="18" borderId="47" xfId="0" applyNumberFormat="1" applyFont="1" applyFill="1" applyBorder="1" applyAlignment="1">
      <alignment/>
    </xf>
    <xf numFmtId="3" fontId="0" fillId="18" borderId="48" xfId="0" applyNumberFormat="1" applyFont="1" applyFill="1" applyBorder="1" applyAlignment="1">
      <alignment/>
    </xf>
    <xf numFmtId="165" fontId="20" fillId="0" borderId="49" xfId="42" applyNumberFormat="1" applyFont="1" applyFill="1" applyBorder="1" applyAlignment="1">
      <alignment/>
    </xf>
    <xf numFmtId="165" fontId="0" fillId="0" borderId="13" xfId="42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165" fontId="20" fillId="0" borderId="50" xfId="42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horizontal="right"/>
    </xf>
    <xf numFmtId="3" fontId="20" fillId="17" borderId="51" xfId="42" applyNumberFormat="1" applyFont="1" applyFill="1" applyBorder="1" applyAlignment="1">
      <alignment/>
    </xf>
    <xf numFmtId="3" fontId="0" fillId="0" borderId="52" xfId="57" applyNumberFormat="1" applyFont="1" applyBorder="1" applyAlignment="1">
      <alignment/>
    </xf>
    <xf numFmtId="3" fontId="0" fillId="0" borderId="45" xfId="57" applyNumberFormat="1" applyFont="1" applyFill="1" applyBorder="1" applyAlignment="1">
      <alignment/>
    </xf>
    <xf numFmtId="9" fontId="0" fillId="0" borderId="18" xfId="57" applyFont="1" applyBorder="1" applyAlignment="1">
      <alignment/>
    </xf>
    <xf numFmtId="3" fontId="20" fillId="17" borderId="0" xfId="42" applyNumberFormat="1" applyFont="1" applyFill="1" applyBorder="1" applyAlignment="1">
      <alignment horizontal="right"/>
    </xf>
    <xf numFmtId="3" fontId="20" fillId="0" borderId="53" xfId="0" applyNumberFormat="1" applyFont="1" applyBorder="1" applyAlignment="1">
      <alignment horizontal="center" wrapText="1"/>
    </xf>
    <xf numFmtId="3" fontId="0" fillId="0" borderId="54" xfId="57" applyNumberFormat="1" applyFont="1" applyBorder="1" applyAlignment="1">
      <alignment/>
    </xf>
    <xf numFmtId="3" fontId="0" fillId="0" borderId="55" xfId="57" applyNumberFormat="1" applyFont="1" applyBorder="1" applyAlignment="1">
      <alignment/>
    </xf>
    <xf numFmtId="3" fontId="0" fillId="0" borderId="55" xfId="57" applyNumberFormat="1" applyFont="1" applyFill="1" applyBorder="1" applyAlignment="1">
      <alignment/>
    </xf>
    <xf numFmtId="3" fontId="0" fillId="0" borderId="55" xfId="0" applyNumberFormat="1" applyFont="1" applyFill="1" applyBorder="1" applyAlignment="1">
      <alignment/>
    </xf>
    <xf numFmtId="3" fontId="0" fillId="0" borderId="55" xfId="57" applyNumberFormat="1" applyFont="1" applyFill="1" applyBorder="1" applyAlignment="1">
      <alignment/>
    </xf>
    <xf numFmtId="165" fontId="0" fillId="0" borderId="12" xfId="42" applyNumberFormat="1" applyFont="1" applyFill="1" applyBorder="1" applyAlignment="1">
      <alignment/>
    </xf>
    <xf numFmtId="3" fontId="20" fillId="0" borderId="49" xfId="0" applyNumberFormat="1" applyFont="1" applyFill="1" applyBorder="1" applyAlignment="1">
      <alignment/>
    </xf>
    <xf numFmtId="3" fontId="20" fillId="0" borderId="43" xfId="0" applyNumberFormat="1" applyFont="1" applyBorder="1" applyAlignment="1">
      <alignment horizontal="center" wrapText="1"/>
    </xf>
    <xf numFmtId="3" fontId="0" fillId="0" borderId="11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9" fontId="0" fillId="0" borderId="0" xfId="57" applyFont="1" applyFill="1" applyBorder="1" applyAlignment="1">
      <alignment/>
    </xf>
    <xf numFmtId="3" fontId="0" fillId="0" borderId="12" xfId="57" applyNumberFormat="1" applyFont="1" applyBorder="1" applyAlignment="1">
      <alignment/>
    </xf>
    <xf numFmtId="3" fontId="20" fillId="17" borderId="18" xfId="42" applyNumberFormat="1" applyFont="1" applyFill="1" applyBorder="1" applyAlignment="1">
      <alignment horizontal="right"/>
    </xf>
    <xf numFmtId="9" fontId="0" fillId="0" borderId="56" xfId="57" applyFon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11" xfId="42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3" fontId="0" fillId="0" borderId="31" xfId="57" applyNumberFormat="1" applyFont="1" applyBorder="1" applyAlignment="1">
      <alignment horizontal="right"/>
    </xf>
    <xf numFmtId="3" fontId="20" fillId="0" borderId="2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176" fontId="0" fillId="0" borderId="0" xfId="0" applyNumberFormat="1" applyFont="1" applyBorder="1" applyAlignment="1">
      <alignment/>
    </xf>
    <xf numFmtId="180" fontId="0" fillId="0" borderId="0" xfId="0" applyNumberFormat="1" applyFont="1" applyBorder="1" applyAlignment="1">
      <alignment/>
    </xf>
    <xf numFmtId="10" fontId="0" fillId="0" borderId="0" xfId="57" applyNumberFormat="1" applyFont="1" applyBorder="1" applyAlignment="1">
      <alignment horizontal="right"/>
    </xf>
    <xf numFmtId="10" fontId="0" fillId="0" borderId="0" xfId="57" applyNumberFormat="1" applyFont="1" applyBorder="1" applyAlignment="1">
      <alignment/>
    </xf>
    <xf numFmtId="3" fontId="0" fillId="0" borderId="55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1" fontId="0" fillId="0" borderId="11" xfId="0" applyNumberFormat="1" applyFont="1" applyBorder="1" applyAlignment="1">
      <alignment/>
    </xf>
    <xf numFmtId="1" fontId="0" fillId="0" borderId="11" xfId="57" applyNumberFormat="1" applyFont="1" applyBorder="1" applyAlignment="1">
      <alignment horizontal="right"/>
    </xf>
    <xf numFmtId="3" fontId="0" fillId="0" borderId="11" xfId="0" applyNumberFormat="1" applyFont="1" applyBorder="1" applyAlignment="1" quotePrefix="1">
      <alignment/>
    </xf>
    <xf numFmtId="3" fontId="0" fillId="0" borderId="11" xfId="42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176" fontId="0" fillId="0" borderId="54" xfId="0" applyNumberFormat="1" applyFont="1" applyBorder="1" applyAlignment="1">
      <alignment/>
    </xf>
    <xf numFmtId="3" fontId="20" fillId="0" borderId="45" xfId="0" applyNumberFormat="1" applyFont="1" applyBorder="1" applyAlignment="1">
      <alignment/>
    </xf>
    <xf numFmtId="3" fontId="0" fillId="0" borderId="31" xfId="57" applyNumberFormat="1" applyFont="1" applyBorder="1" applyAlignment="1">
      <alignment/>
    </xf>
    <xf numFmtId="9" fontId="20" fillId="0" borderId="43" xfId="57" applyFont="1" applyBorder="1" applyAlignment="1">
      <alignment horizontal="center" wrapText="1"/>
    </xf>
    <xf numFmtId="9" fontId="0" fillId="0" borderId="12" xfId="57" applyFont="1" applyFill="1" applyBorder="1" applyAlignment="1">
      <alignment/>
    </xf>
    <xf numFmtId="9" fontId="0" fillId="0" borderId="38" xfId="57" applyFont="1" applyBorder="1" applyAlignment="1">
      <alignment/>
    </xf>
    <xf numFmtId="9" fontId="0" fillId="0" borderId="12" xfId="57" applyFont="1" applyBorder="1" applyAlignment="1">
      <alignment/>
    </xf>
    <xf numFmtId="3" fontId="20" fillId="0" borderId="43" xfId="0" applyNumberFormat="1" applyFont="1" applyFill="1" applyBorder="1" applyAlignment="1">
      <alignment horizontal="center" wrapText="1"/>
    </xf>
    <xf numFmtId="3" fontId="0" fillId="0" borderId="57" xfId="57" applyNumberFormat="1" applyFont="1" applyBorder="1" applyAlignment="1">
      <alignment/>
    </xf>
    <xf numFmtId="3" fontId="0" fillId="0" borderId="58" xfId="57" applyNumberFormat="1" applyFont="1" applyBorder="1" applyAlignment="1">
      <alignment/>
    </xf>
    <xf numFmtId="3" fontId="0" fillId="0" borderId="58" xfId="0" applyNumberFormat="1" applyFont="1" applyFill="1" applyBorder="1" applyAlignment="1">
      <alignment/>
    </xf>
    <xf numFmtId="3" fontId="0" fillId="0" borderId="58" xfId="57" applyNumberFormat="1" applyFont="1" applyBorder="1" applyAlignment="1">
      <alignment horizontal="right"/>
    </xf>
    <xf numFmtId="3" fontId="0" fillId="0" borderId="58" xfId="42" applyNumberFormat="1" applyFont="1" applyFill="1" applyBorder="1" applyAlignment="1">
      <alignment/>
    </xf>
    <xf numFmtId="3" fontId="0" fillId="0" borderId="58" xfId="57" applyNumberFormat="1" applyFont="1" applyFill="1" applyBorder="1" applyAlignment="1">
      <alignment/>
    </xf>
    <xf numFmtId="3" fontId="0" fillId="0" borderId="18" xfId="42" applyNumberFormat="1" applyFont="1" applyFill="1" applyBorder="1" applyAlignment="1">
      <alignment/>
    </xf>
    <xf numFmtId="3" fontId="0" fillId="0" borderId="18" xfId="57" applyNumberFormat="1" applyFont="1" applyFill="1" applyBorder="1" applyAlignment="1">
      <alignment/>
    </xf>
    <xf numFmtId="9" fontId="0" fillId="0" borderId="59" xfId="57" applyFont="1" applyBorder="1" applyAlignment="1">
      <alignment/>
    </xf>
    <xf numFmtId="3" fontId="0" fillId="0" borderId="59" xfId="0" applyNumberFormat="1" applyFont="1" applyFill="1" applyBorder="1" applyAlignment="1">
      <alignment/>
    </xf>
    <xf numFmtId="3" fontId="0" fillId="0" borderId="60" xfId="0" applyNumberFormat="1" applyFont="1" applyFill="1" applyBorder="1" applyAlignment="1">
      <alignment horizontal="right"/>
    </xf>
    <xf numFmtId="3" fontId="0" fillId="0" borderId="55" xfId="42" applyNumberFormat="1" applyFont="1" applyFill="1" applyBorder="1" applyAlignment="1">
      <alignment/>
    </xf>
    <xf numFmtId="3" fontId="0" fillId="0" borderId="55" xfId="0" applyNumberFormat="1" applyFont="1" applyFill="1" applyBorder="1" applyAlignment="1">
      <alignment horizontal="right"/>
    </xf>
    <xf numFmtId="3" fontId="0" fillId="0" borderId="23" xfId="0" applyNumberFormat="1" applyFont="1" applyFill="1" applyBorder="1" applyAlignment="1">
      <alignment/>
    </xf>
    <xf numFmtId="3" fontId="0" fillId="0" borderId="55" xfId="42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0" xfId="0" applyNumberFormat="1" applyFont="1" applyFill="1" applyBorder="1" applyAlignment="1">
      <alignment/>
    </xf>
    <xf numFmtId="3" fontId="20" fillId="17" borderId="49" xfId="42" applyNumberFormat="1" applyFont="1" applyFill="1" applyBorder="1" applyAlignment="1">
      <alignment/>
    </xf>
    <xf numFmtId="9" fontId="0" fillId="0" borderId="62" xfId="57" applyFont="1" applyBorder="1" applyAlignment="1">
      <alignment/>
    </xf>
    <xf numFmtId="3" fontId="0" fillId="0" borderId="48" xfId="0" applyNumberFormat="1" applyFont="1" applyFill="1" applyBorder="1" applyAlignment="1">
      <alignment/>
    </xf>
    <xf numFmtId="9" fontId="0" fillId="20" borderId="63" xfId="57" applyFont="1" applyFill="1" applyBorder="1" applyAlignment="1">
      <alignment/>
    </xf>
    <xf numFmtId="3" fontId="20" fillId="17" borderId="64" xfId="42" applyNumberFormat="1" applyFont="1" applyFill="1" applyBorder="1" applyAlignment="1">
      <alignment/>
    </xf>
    <xf numFmtId="9" fontId="0" fillId="0" borderId="57" xfId="57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56" xfId="57" applyNumberFormat="1" applyFont="1" applyBorder="1" applyAlignment="1">
      <alignment/>
    </xf>
    <xf numFmtId="165" fontId="0" fillId="18" borderId="0" xfId="42" applyNumberFormat="1" applyFont="1" applyFill="1" applyBorder="1" applyAlignment="1">
      <alignment/>
    </xf>
    <xf numFmtId="165" fontId="0" fillId="18" borderId="31" xfId="42" applyNumberFormat="1" applyFont="1" applyFill="1" applyBorder="1" applyAlignment="1">
      <alignment/>
    </xf>
    <xf numFmtId="3" fontId="0" fillId="18" borderId="51" xfId="0" applyNumberFormat="1" applyFont="1" applyFill="1" applyBorder="1" applyAlignment="1">
      <alignment/>
    </xf>
    <xf numFmtId="3" fontId="0" fillId="18" borderId="65" xfId="0" applyNumberFormat="1" applyFont="1" applyFill="1" applyBorder="1" applyAlignment="1">
      <alignment/>
    </xf>
    <xf numFmtId="2" fontId="0" fillId="0" borderId="31" xfId="0" applyNumberFormat="1" applyFont="1" applyBorder="1" applyAlignment="1">
      <alignment/>
    </xf>
    <xf numFmtId="165" fontId="20" fillId="0" borderId="51" xfId="42" applyNumberFormat="1" applyFont="1" applyFill="1" applyBorder="1" applyAlignment="1">
      <alignment/>
    </xf>
    <xf numFmtId="9" fontId="20" fillId="0" borderId="51" xfId="57" applyFont="1" applyFill="1" applyBorder="1" applyAlignment="1">
      <alignment/>
    </xf>
    <xf numFmtId="165" fontId="0" fillId="0" borderId="11" xfId="42" applyNumberFormat="1" applyFont="1" applyFill="1" applyBorder="1" applyAlignment="1">
      <alignment/>
    </xf>
    <xf numFmtId="165" fontId="20" fillId="0" borderId="45" xfId="42" applyNumberFormat="1" applyFont="1" applyFill="1" applyBorder="1" applyAlignment="1">
      <alignment/>
    </xf>
    <xf numFmtId="9" fontId="0" fillId="18" borderId="24" xfId="57" applyFont="1" applyFill="1" applyBorder="1" applyAlignment="1">
      <alignment/>
    </xf>
    <xf numFmtId="3" fontId="18" fillId="18" borderId="60" xfId="0" applyNumberFormat="1" applyFont="1" applyFill="1" applyBorder="1" applyAlignment="1" applyProtection="1">
      <alignment/>
      <protection hidden="1"/>
    </xf>
    <xf numFmtId="3" fontId="18" fillId="18" borderId="23" xfId="0" applyNumberFormat="1" applyFont="1" applyFill="1" applyBorder="1" applyAlignment="1" applyProtection="1">
      <alignment/>
      <protection hidden="1"/>
    </xf>
    <xf numFmtId="9" fontId="0" fillId="18" borderId="54" xfId="57" applyFont="1" applyFill="1" applyBorder="1" applyAlignment="1">
      <alignment/>
    </xf>
    <xf numFmtId="3" fontId="0" fillId="18" borderId="38" xfId="0" applyNumberFormat="1" applyFont="1" applyFill="1" applyBorder="1" applyAlignment="1">
      <alignment/>
    </xf>
    <xf numFmtId="0" fontId="0" fillId="18" borderId="57" xfId="0" applyFont="1" applyFill="1" applyBorder="1" applyAlignment="1">
      <alignment/>
    </xf>
    <xf numFmtId="3" fontId="0" fillId="21" borderId="55" xfId="0" applyNumberFormat="1" applyFont="1" applyFill="1" applyBorder="1" applyAlignment="1">
      <alignment/>
    </xf>
    <xf numFmtId="3" fontId="20" fillId="21" borderId="49" xfId="0" applyNumberFormat="1" applyFont="1" applyFill="1" applyBorder="1" applyAlignment="1">
      <alignment/>
    </xf>
    <xf numFmtId="3" fontId="0" fillId="21" borderId="18" xfId="0" applyNumberFormat="1" applyFont="1" applyFill="1" applyBorder="1" applyAlignment="1">
      <alignment/>
    </xf>
    <xf numFmtId="3" fontId="20" fillId="21" borderId="63" xfId="42" applyNumberFormat="1" applyFont="1" applyFill="1" applyBorder="1" applyAlignment="1">
      <alignment/>
    </xf>
    <xf numFmtId="3" fontId="0" fillId="21" borderId="62" xfId="0" applyNumberFormat="1" applyFont="1" applyFill="1" applyBorder="1" applyAlignment="1">
      <alignment/>
    </xf>
    <xf numFmtId="3" fontId="0" fillId="21" borderId="12" xfId="57" applyNumberFormat="1" applyFont="1" applyFill="1" applyBorder="1" applyAlignment="1">
      <alignment/>
    </xf>
    <xf numFmtId="0" fontId="22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 topLeftCell="A1">
      <selection activeCell="N2" sqref="N2"/>
    </sheetView>
  </sheetViews>
  <sheetFormatPr defaultColWidth="11.57421875" defaultRowHeight="12.75"/>
  <cols>
    <col min="1" max="1" width="41.7109375" style="0" customWidth="1"/>
    <col min="2" max="2" width="14.8515625" style="0" customWidth="1"/>
    <col min="3" max="3" width="10.7109375" style="0" customWidth="1"/>
    <col min="4" max="16384" width="11.421875" style="0" customWidth="1"/>
  </cols>
  <sheetData>
    <row r="1" spans="1:3" ht="19.5">
      <c r="A1" s="240" t="s">
        <v>153</v>
      </c>
      <c r="B1" s="240"/>
      <c r="C1" s="240"/>
    </row>
    <row r="2" spans="1:3" ht="19.5">
      <c r="A2" s="134"/>
      <c r="B2" s="135"/>
      <c r="C2" s="134"/>
    </row>
    <row r="3" spans="1:3" ht="19.5">
      <c r="A3" s="134" t="s">
        <v>2</v>
      </c>
      <c r="B3" s="135" t="s">
        <v>118</v>
      </c>
      <c r="C3" s="134"/>
    </row>
    <row r="4" spans="1:3" ht="19.5">
      <c r="A4" s="134" t="s">
        <v>119</v>
      </c>
      <c r="B4" s="135">
        <v>30920</v>
      </c>
      <c r="C4" s="136">
        <f aca="true" t="shared" si="0" ref="C4:C9">B4/133236</f>
        <v>0.23206941066978895</v>
      </c>
    </row>
    <row r="5" spans="1:3" ht="19.5">
      <c r="A5" s="134" t="s">
        <v>120</v>
      </c>
      <c r="B5" s="135">
        <f>Budget!P16</f>
        <v>10000</v>
      </c>
      <c r="C5" s="136">
        <f t="shared" si="0"/>
        <v>0.07505478999669758</v>
      </c>
    </row>
    <row r="6" spans="1:3" ht="19.5">
      <c r="A6" s="134" t="s">
        <v>121</v>
      </c>
      <c r="B6" s="135">
        <v>25000</v>
      </c>
      <c r="C6" s="136">
        <f t="shared" si="0"/>
        <v>0.18763697499174398</v>
      </c>
    </row>
    <row r="7" spans="1:3" ht="19.5">
      <c r="A7" s="134" t="s">
        <v>122</v>
      </c>
      <c r="B7" s="135">
        <f>Budget!P22+Budget!P23+Budget!P24</f>
        <v>39339</v>
      </c>
      <c r="C7" s="136">
        <f t="shared" si="0"/>
        <v>0.2952580383680086</v>
      </c>
    </row>
    <row r="8" spans="1:3" ht="19.5">
      <c r="A8" s="134" t="s">
        <v>123</v>
      </c>
      <c r="B8" s="135">
        <v>13500</v>
      </c>
      <c r="C8" s="136">
        <f t="shared" si="0"/>
        <v>0.10132396649554175</v>
      </c>
    </row>
    <row r="9" spans="1:3" ht="19.5">
      <c r="A9" s="134" t="s">
        <v>124</v>
      </c>
      <c r="B9" s="135">
        <f>Budget!P31</f>
        <v>14477</v>
      </c>
      <c r="C9" s="136">
        <f t="shared" si="0"/>
        <v>0.1086568194782191</v>
      </c>
    </row>
    <row r="10" spans="1:3" ht="19.5">
      <c r="A10" s="134" t="s">
        <v>125</v>
      </c>
      <c r="B10" s="137">
        <f>SUM(B4:B9)</f>
        <v>133236</v>
      </c>
      <c r="C10" s="138">
        <f>SUM(C4:C9)</f>
        <v>1</v>
      </c>
    </row>
    <row r="11" spans="1:3" ht="19.5">
      <c r="A11" s="134"/>
      <c r="B11" s="135"/>
      <c r="C11" s="138"/>
    </row>
    <row r="12" spans="1:3" ht="19.5">
      <c r="A12" s="134" t="s">
        <v>28</v>
      </c>
      <c r="B12" s="135"/>
      <c r="C12" s="134"/>
    </row>
    <row r="13" spans="1:3" ht="19.5">
      <c r="A13" s="134" t="s">
        <v>126</v>
      </c>
      <c r="B13" s="135">
        <f>Budget!P60</f>
        <v>76345.25959999999</v>
      </c>
      <c r="C13" s="138">
        <f>B13/133236</f>
        <v>0.5730077426521359</v>
      </c>
    </row>
    <row r="14" spans="1:3" ht="19.5">
      <c r="A14" s="134" t="s">
        <v>127</v>
      </c>
      <c r="B14" s="135">
        <f>Budget!P65+Budget!P69</f>
        <v>14428.2007342</v>
      </c>
      <c r="C14" s="138">
        <f>B14/133236</f>
        <v>0.1082905576135579</v>
      </c>
    </row>
    <row r="15" spans="1:3" ht="19.5">
      <c r="A15" s="134" t="s">
        <v>128</v>
      </c>
      <c r="B15" s="135">
        <f>Budget!P93</f>
        <v>21141.75</v>
      </c>
      <c r="C15" s="138">
        <f>B15/133236</f>
        <v>0.15867896064126813</v>
      </c>
    </row>
    <row r="16" spans="1:3" ht="19.5">
      <c r="A16" s="134" t="s">
        <v>129</v>
      </c>
      <c r="B16" s="135">
        <f>Budget!P102</f>
        <v>18707.937821698906</v>
      </c>
      <c r="C16" s="138">
        <f>B16/133236</f>
        <v>0.14041203444788874</v>
      </c>
    </row>
    <row r="17" spans="1:3" ht="19.5">
      <c r="A17" s="134" t="s">
        <v>130</v>
      </c>
      <c r="B17" s="135">
        <f>Budget!P104</f>
        <v>2612.462963117978</v>
      </c>
      <c r="C17" s="138">
        <f>B17/133236</f>
        <v>0.019607785907097015</v>
      </c>
    </row>
    <row r="18" spans="1:3" ht="19.5">
      <c r="A18" s="134" t="s">
        <v>125</v>
      </c>
      <c r="B18" s="137">
        <f>SUM(B13:B17)</f>
        <v>133235.6111190169</v>
      </c>
      <c r="C18" s="138">
        <f>SUM(C13:C17)</f>
        <v>0.9999970812619478</v>
      </c>
    </row>
  </sheetData>
  <sheetProtection/>
  <mergeCells count="1">
    <mergeCell ref="A1:C1"/>
  </mergeCells>
  <printOptions horizontalCentered="1"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7"/>
  <sheetViews>
    <sheetView workbookViewId="0" topLeftCell="A1">
      <selection activeCell="P23" sqref="P23"/>
    </sheetView>
  </sheetViews>
  <sheetFormatPr defaultColWidth="9.140625" defaultRowHeight="12.75"/>
  <cols>
    <col min="1" max="1" width="6.140625" style="75" customWidth="1"/>
    <col min="2" max="2" width="21.7109375" style="19" customWidth="1"/>
    <col min="3" max="3" width="14.421875" style="19" customWidth="1"/>
    <col min="4" max="4" width="20.421875" style="19" customWidth="1"/>
    <col min="5" max="5" width="9.140625" style="19" customWidth="1"/>
    <col min="6" max="6" width="8.140625" style="19" customWidth="1"/>
    <col min="7" max="7" width="2.421875" style="19" customWidth="1"/>
    <col min="8" max="8" width="9.7109375" style="19" hidden="1" customWidth="1"/>
    <col min="9" max="9" width="9.140625" style="94" hidden="1" customWidth="1"/>
    <col min="10" max="10" width="9.7109375" style="94" hidden="1" customWidth="1"/>
    <col min="11" max="11" width="10.421875" style="19" customWidth="1"/>
    <col min="12" max="12" width="7.8515625" style="12" hidden="1" customWidth="1"/>
    <col min="13" max="13" width="9.140625" style="94" hidden="1" customWidth="1"/>
    <col min="14" max="14" width="10.140625" style="94" customWidth="1"/>
    <col min="15" max="15" width="10.7109375" style="12" customWidth="1"/>
    <col min="16" max="16" width="9.8515625" style="21" bestFit="1" customWidth="1"/>
    <col min="17" max="17" width="9.28125" style="94" customWidth="1"/>
    <col min="18" max="18" width="9.421875" style="21" hidden="1" customWidth="1"/>
    <col min="19" max="19" width="9.421875" style="21" bestFit="1" customWidth="1"/>
    <col min="20" max="24" width="9.140625" style="21" customWidth="1"/>
    <col min="25" max="16384" width="9.140625" style="19" customWidth="1"/>
  </cols>
  <sheetData>
    <row r="1" spans="1:7" ht="7.5" customHeight="1" thickBot="1">
      <c r="A1" s="70" t="s">
        <v>2</v>
      </c>
      <c r="C1" s="18" t="s">
        <v>0</v>
      </c>
      <c r="E1" s="20" t="s">
        <v>1</v>
      </c>
      <c r="F1" s="21"/>
      <c r="G1" s="22"/>
    </row>
    <row r="2" spans="1:27" s="60" customFormat="1" ht="39" customHeight="1" thickBot="1">
      <c r="A2" s="71" t="s">
        <v>3</v>
      </c>
      <c r="B2" s="56" t="s">
        <v>4</v>
      </c>
      <c r="C2" s="57"/>
      <c r="D2" s="57"/>
      <c r="E2" s="57"/>
      <c r="F2" s="58"/>
      <c r="G2" s="23"/>
      <c r="H2" s="24" t="s">
        <v>77</v>
      </c>
      <c r="I2" s="97" t="s">
        <v>106</v>
      </c>
      <c r="J2" s="97" t="s">
        <v>143</v>
      </c>
      <c r="K2" s="173" t="s">
        <v>151</v>
      </c>
      <c r="L2" s="61" t="s">
        <v>152</v>
      </c>
      <c r="M2" s="97" t="s">
        <v>139</v>
      </c>
      <c r="N2" s="97" t="s">
        <v>159</v>
      </c>
      <c r="O2" s="189" t="s">
        <v>160</v>
      </c>
      <c r="P2" s="162" t="s">
        <v>161</v>
      </c>
      <c r="Q2" s="97" t="s">
        <v>112</v>
      </c>
      <c r="R2" s="162" t="s">
        <v>144</v>
      </c>
      <c r="S2" s="125"/>
      <c r="T2" s="125"/>
      <c r="U2" s="125"/>
      <c r="V2" s="125"/>
      <c r="W2" s="125"/>
      <c r="X2" s="125"/>
      <c r="Y2" s="59"/>
      <c r="Z2" s="59"/>
      <c r="AA2" s="59"/>
    </row>
    <row r="3" spans="1:18" ht="12">
      <c r="A3" s="2">
        <v>4007</v>
      </c>
      <c r="B3" s="5" t="s">
        <v>5</v>
      </c>
      <c r="C3" s="5" t="s">
        <v>6</v>
      </c>
      <c r="D3" s="5" t="s">
        <v>7</v>
      </c>
      <c r="E3" s="6"/>
      <c r="F3" s="7"/>
      <c r="G3" s="25"/>
      <c r="H3" s="63"/>
      <c r="I3" s="105"/>
      <c r="J3" s="109"/>
      <c r="K3" s="63"/>
      <c r="L3" s="132"/>
      <c r="M3" s="155"/>
      <c r="N3" s="109"/>
      <c r="O3" s="191"/>
      <c r="P3" s="186"/>
      <c r="Q3" s="155"/>
      <c r="R3" s="169"/>
    </row>
    <row r="4" spans="1:18" ht="12">
      <c r="A4" s="2"/>
      <c r="B4" s="5"/>
      <c r="C4" s="5"/>
      <c r="D4" s="5"/>
      <c r="E4" s="5" t="s">
        <v>8</v>
      </c>
      <c r="F4" s="7"/>
      <c r="G4" s="25"/>
      <c r="H4" s="65">
        <v>14096</v>
      </c>
      <c r="I4" s="106">
        <v>21000</v>
      </c>
      <c r="J4" s="110">
        <v>28251</v>
      </c>
      <c r="K4" s="65">
        <f>363+29552</f>
        <v>29915</v>
      </c>
      <c r="L4" s="133">
        <f>K4/Q4</f>
        <v>1.0878181818181818</v>
      </c>
      <c r="M4" s="156">
        <v>30279</v>
      </c>
      <c r="N4" s="110">
        <v>2223</v>
      </c>
      <c r="O4" s="192">
        <f>N4/P4</f>
        <v>0.08892</v>
      </c>
      <c r="P4" s="179">
        <v>25000</v>
      </c>
      <c r="Q4" s="156">
        <v>27500</v>
      </c>
      <c r="R4" s="183">
        <v>25000</v>
      </c>
    </row>
    <row r="5" spans="1:19" ht="12">
      <c r="A5" s="2"/>
      <c r="B5" s="5"/>
      <c r="C5" s="5"/>
      <c r="D5" s="5"/>
      <c r="E5" s="5" t="s">
        <v>9</v>
      </c>
      <c r="F5" s="7"/>
      <c r="G5" s="25"/>
      <c r="H5" s="65">
        <v>1000</v>
      </c>
      <c r="I5" s="106">
        <v>1000</v>
      </c>
      <c r="J5" s="110"/>
      <c r="K5" s="65">
        <v>1800</v>
      </c>
      <c r="L5" s="133">
        <f>K5/Q5</f>
        <v>1.2</v>
      </c>
      <c r="M5" s="156">
        <v>1400</v>
      </c>
      <c r="N5" s="110"/>
      <c r="O5" s="192"/>
      <c r="P5" s="156">
        <v>2000</v>
      </c>
      <c r="Q5" s="156">
        <v>1500</v>
      </c>
      <c r="R5" s="163">
        <v>2000</v>
      </c>
      <c r="S5" s="21" t="s">
        <v>142</v>
      </c>
    </row>
    <row r="6" spans="1:19" ht="12">
      <c r="A6" s="2"/>
      <c r="B6" s="5"/>
      <c r="C6" s="5"/>
      <c r="D6" s="5"/>
      <c r="E6" s="5" t="s">
        <v>10</v>
      </c>
      <c r="F6" s="7"/>
      <c r="G6" s="25"/>
      <c r="H6" s="65"/>
      <c r="I6" s="106">
        <v>3000</v>
      </c>
      <c r="J6" s="110"/>
      <c r="K6" s="65">
        <v>1700</v>
      </c>
      <c r="L6" s="133">
        <f>K6/Q6</f>
        <v>1.7</v>
      </c>
      <c r="M6" s="156">
        <f>2200</f>
        <v>2200</v>
      </c>
      <c r="N6" s="110"/>
      <c r="O6" s="192"/>
      <c r="P6" s="156">
        <v>2500</v>
      </c>
      <c r="Q6" s="156">
        <v>1000</v>
      </c>
      <c r="R6" s="163">
        <v>2500</v>
      </c>
      <c r="S6" s="21" t="s">
        <v>141</v>
      </c>
    </row>
    <row r="7" spans="1:18" ht="12">
      <c r="A7" s="2">
        <v>4008</v>
      </c>
      <c r="B7" s="5" t="s">
        <v>5</v>
      </c>
      <c r="C7" s="5" t="s">
        <v>6</v>
      </c>
      <c r="D7" s="5" t="s">
        <v>11</v>
      </c>
      <c r="E7" s="5" t="s">
        <v>107</v>
      </c>
      <c r="F7" s="7"/>
      <c r="G7" s="25"/>
      <c r="H7" s="62">
        <v>2116</v>
      </c>
      <c r="I7" s="106"/>
      <c r="J7" s="110">
        <v>1250</v>
      </c>
      <c r="K7" s="65">
        <v>3000</v>
      </c>
      <c r="L7" s="133">
        <f>K7/Q7</f>
        <v>3</v>
      </c>
      <c r="M7" s="156">
        <v>3000</v>
      </c>
      <c r="N7" s="110"/>
      <c r="O7" s="192"/>
      <c r="P7" s="156">
        <v>2000</v>
      </c>
      <c r="Q7" s="156">
        <v>1000</v>
      </c>
      <c r="R7" s="163">
        <v>2000</v>
      </c>
    </row>
    <row r="8" spans="1:18" ht="12">
      <c r="A8" s="2">
        <v>4021</v>
      </c>
      <c r="B8" s="5" t="s">
        <v>5</v>
      </c>
      <c r="C8" s="5" t="s">
        <v>12</v>
      </c>
      <c r="D8" s="5" t="s">
        <v>6</v>
      </c>
      <c r="E8" s="5"/>
      <c r="F8" s="7"/>
      <c r="G8" s="25"/>
      <c r="H8" s="65">
        <f>338*1.05</f>
        <v>354.90000000000003</v>
      </c>
      <c r="I8" s="122">
        <v>1000</v>
      </c>
      <c r="J8" s="123">
        <v>63</v>
      </c>
      <c r="K8" s="65">
        <v>363</v>
      </c>
      <c r="L8" s="133">
        <f>K8/Q8</f>
        <v>1.5</v>
      </c>
      <c r="M8" s="156">
        <v>400</v>
      </c>
      <c r="N8" s="110">
        <v>257</v>
      </c>
      <c r="O8" s="192">
        <f>N8/P8</f>
        <v>0.6425</v>
      </c>
      <c r="P8" s="179">
        <v>400</v>
      </c>
      <c r="Q8" s="157">
        <v>242</v>
      </c>
      <c r="R8" s="163">
        <v>400</v>
      </c>
    </row>
    <row r="9" spans="1:18" ht="12">
      <c r="A9" s="2"/>
      <c r="B9" s="5" t="s">
        <v>131</v>
      </c>
      <c r="C9" s="5"/>
      <c r="D9" s="5"/>
      <c r="E9" s="5"/>
      <c r="F9" s="7"/>
      <c r="G9" s="25"/>
      <c r="H9" s="81">
        <f aca="true" t="shared" si="0" ref="H9:N9">SUM(H3:H8)</f>
        <v>17566.9</v>
      </c>
      <c r="I9" s="81">
        <f t="shared" si="0"/>
        <v>26000</v>
      </c>
      <c r="J9" s="111">
        <f t="shared" si="0"/>
        <v>29564</v>
      </c>
      <c r="K9" s="111">
        <f t="shared" si="0"/>
        <v>36778</v>
      </c>
      <c r="L9" s="111">
        <f t="shared" si="0"/>
        <v>8.48781818181818</v>
      </c>
      <c r="M9" s="158">
        <f t="shared" si="0"/>
        <v>37279</v>
      </c>
      <c r="N9" s="111">
        <f t="shared" si="0"/>
        <v>2480</v>
      </c>
      <c r="O9" s="190">
        <f>N9/P9</f>
        <v>0.07774294670846395</v>
      </c>
      <c r="P9" s="158">
        <f>SUM(P3:P8)</f>
        <v>31900</v>
      </c>
      <c r="Q9" s="158">
        <f>SUM(Q3:Q8)</f>
        <v>31242</v>
      </c>
      <c r="R9" s="163">
        <v>31900</v>
      </c>
    </row>
    <row r="10" spans="1:18" ht="12">
      <c r="A10" s="2"/>
      <c r="B10" s="5"/>
      <c r="C10" s="5"/>
      <c r="D10" s="5"/>
      <c r="E10" s="5"/>
      <c r="F10" s="7"/>
      <c r="G10" s="25"/>
      <c r="H10" s="65"/>
      <c r="I10" s="122"/>
      <c r="J10" s="123"/>
      <c r="K10" s="65"/>
      <c r="L10" s="133"/>
      <c r="M10" s="156"/>
      <c r="N10" s="110"/>
      <c r="O10" s="192"/>
      <c r="P10" s="179"/>
      <c r="Q10" s="157"/>
      <c r="R10" s="163"/>
    </row>
    <row r="11" spans="1:18" ht="12">
      <c r="A11" s="2">
        <v>4041</v>
      </c>
      <c r="B11" s="5" t="s">
        <v>5</v>
      </c>
      <c r="C11" s="5" t="s">
        <v>12</v>
      </c>
      <c r="D11" s="5" t="s">
        <v>13</v>
      </c>
      <c r="E11" s="5"/>
      <c r="F11" s="7"/>
      <c r="G11" s="25"/>
      <c r="H11" s="65">
        <v>10000</v>
      </c>
      <c r="I11" s="122">
        <v>7143</v>
      </c>
      <c r="J11" s="123">
        <v>7143</v>
      </c>
      <c r="K11" s="65">
        <v>7143</v>
      </c>
      <c r="L11" s="133">
        <f>K11/Q11</f>
        <v>1</v>
      </c>
      <c r="M11" s="156">
        <v>7143</v>
      </c>
      <c r="N11" s="110"/>
      <c r="O11" s="192"/>
      <c r="P11" s="179">
        <v>0</v>
      </c>
      <c r="Q11" s="157">
        <v>7143</v>
      </c>
      <c r="R11" s="163">
        <v>0</v>
      </c>
    </row>
    <row r="12" spans="1:18" ht="12">
      <c r="A12" s="2">
        <v>4070</v>
      </c>
      <c r="B12" s="5" t="s">
        <v>5</v>
      </c>
      <c r="C12" s="5" t="s">
        <v>14</v>
      </c>
      <c r="D12" s="5"/>
      <c r="E12" s="5"/>
      <c r="F12" s="7"/>
      <c r="G12" s="25"/>
      <c r="H12" s="65"/>
      <c r="I12" s="122"/>
      <c r="J12" s="123">
        <v>2179</v>
      </c>
      <c r="K12" s="65"/>
      <c r="L12" s="133"/>
      <c r="M12" s="156"/>
      <c r="N12" s="110"/>
      <c r="O12" s="192"/>
      <c r="P12" s="179"/>
      <c r="Q12" s="157"/>
      <c r="R12" s="163"/>
    </row>
    <row r="13" spans="1:18" ht="12">
      <c r="A13" s="2"/>
      <c r="B13" s="5"/>
      <c r="C13" s="5" t="s">
        <v>78</v>
      </c>
      <c r="D13" s="5"/>
      <c r="E13" s="5"/>
      <c r="F13" s="7"/>
      <c r="G13" s="25"/>
      <c r="H13" s="65">
        <v>15000</v>
      </c>
      <c r="I13" s="122"/>
      <c r="J13" s="123"/>
      <c r="K13" s="65"/>
      <c r="L13" s="133"/>
      <c r="M13" s="156"/>
      <c r="N13" s="110"/>
      <c r="O13" s="192"/>
      <c r="P13" s="179"/>
      <c r="Q13" s="157"/>
      <c r="R13" s="163"/>
    </row>
    <row r="14" spans="1:18" ht="12">
      <c r="A14" s="72"/>
      <c r="B14" s="139"/>
      <c r="C14" s="139" t="s">
        <v>117</v>
      </c>
      <c r="D14" s="139"/>
      <c r="E14" s="139">
        <v>5000</v>
      </c>
      <c r="F14" s="139"/>
      <c r="G14" s="25"/>
      <c r="H14" s="65"/>
      <c r="I14" s="122"/>
      <c r="J14" s="123"/>
      <c r="K14" s="65">
        <v>5000</v>
      </c>
      <c r="L14" s="133">
        <f>K14/Q14</f>
        <v>1</v>
      </c>
      <c r="M14" s="156">
        <v>5000</v>
      </c>
      <c r="N14" s="110">
        <v>5000</v>
      </c>
      <c r="O14" s="192">
        <f>N14/P14</f>
        <v>1</v>
      </c>
      <c r="P14" s="179">
        <v>5000</v>
      </c>
      <c r="Q14" s="157">
        <v>5000</v>
      </c>
      <c r="R14" s="163">
        <v>5000</v>
      </c>
    </row>
    <row r="15" spans="1:18" ht="12">
      <c r="A15" s="140">
        <v>4003</v>
      </c>
      <c r="B15" s="141" t="s">
        <v>74</v>
      </c>
      <c r="C15" s="139"/>
      <c r="D15" s="139"/>
      <c r="E15" s="139"/>
      <c r="F15" s="139"/>
      <c r="G15" s="26"/>
      <c r="H15" s="65">
        <v>4500</v>
      </c>
      <c r="I15" s="115">
        <v>11363</v>
      </c>
      <c r="J15" s="123"/>
      <c r="K15" s="65">
        <v>1000</v>
      </c>
      <c r="L15" s="133">
        <f>K15/Q15</f>
        <v>0.19098548510313215</v>
      </c>
      <c r="M15" s="156">
        <v>1000</v>
      </c>
      <c r="N15" s="110"/>
      <c r="O15" s="192"/>
      <c r="P15" s="179">
        <v>5000</v>
      </c>
      <c r="Q15" s="159">
        <f>5350-152+38</f>
        <v>5236</v>
      </c>
      <c r="R15" s="163">
        <v>5000</v>
      </c>
    </row>
    <row r="16" spans="1:18" ht="12">
      <c r="A16" s="2">
        <v>4070</v>
      </c>
      <c r="B16" s="5" t="s">
        <v>73</v>
      </c>
      <c r="C16" s="5"/>
      <c r="D16" s="5"/>
      <c r="E16" s="5"/>
      <c r="F16" s="7"/>
      <c r="G16" s="25"/>
      <c r="H16" s="65">
        <f aca="true" t="shared" si="1" ref="H16:N16">SUM(H11:H15)</f>
        <v>29500</v>
      </c>
      <c r="I16" s="81">
        <f t="shared" si="1"/>
        <v>18506</v>
      </c>
      <c r="J16" s="119">
        <f t="shared" si="1"/>
        <v>9322</v>
      </c>
      <c r="K16" s="65">
        <f t="shared" si="1"/>
        <v>13143</v>
      </c>
      <c r="L16" s="65">
        <f t="shared" si="1"/>
        <v>2.1909854851031323</v>
      </c>
      <c r="M16" s="65">
        <f t="shared" si="1"/>
        <v>13143</v>
      </c>
      <c r="N16" s="111">
        <f t="shared" si="1"/>
        <v>5000</v>
      </c>
      <c r="O16" s="190">
        <f>N16/P16</f>
        <v>0.5</v>
      </c>
      <c r="P16" s="158">
        <f>SUM(P11:P15)</f>
        <v>10000</v>
      </c>
      <c r="Q16" s="158">
        <f>SUM(Q11:Q15)</f>
        <v>17379</v>
      </c>
      <c r="R16" s="163">
        <v>10000</v>
      </c>
    </row>
    <row r="17" spans="1:18" ht="12.75" thickBot="1">
      <c r="A17" s="2"/>
      <c r="B17" s="5"/>
      <c r="C17" s="5"/>
      <c r="D17" s="5"/>
      <c r="E17" s="5"/>
      <c r="F17" s="7"/>
      <c r="G17" s="25"/>
      <c r="H17" s="65"/>
      <c r="I17" s="122"/>
      <c r="J17" s="123"/>
      <c r="K17" s="65"/>
      <c r="L17" s="133"/>
      <c r="M17" s="156"/>
      <c r="N17" s="110"/>
      <c r="O17" s="192"/>
      <c r="P17" s="179"/>
      <c r="Q17" s="157"/>
      <c r="R17" s="163"/>
    </row>
    <row r="18" spans="1:18" ht="12.75" thickBot="1">
      <c r="A18" s="2">
        <v>4058</v>
      </c>
      <c r="B18" s="16" t="s">
        <v>15</v>
      </c>
      <c r="C18" s="5" t="s">
        <v>16</v>
      </c>
      <c r="D18" s="5"/>
      <c r="E18" s="5"/>
      <c r="F18" s="7"/>
      <c r="G18" s="25"/>
      <c r="H18" s="103" t="e">
        <f>#REF!*1.05</f>
        <v>#REF!</v>
      </c>
      <c r="I18" s="106">
        <v>4000</v>
      </c>
      <c r="J18" s="110">
        <v>5073</v>
      </c>
      <c r="K18" s="65">
        <v>13498</v>
      </c>
      <c r="L18" s="133">
        <f>K18/Q18</f>
        <v>2.2496666666666667</v>
      </c>
      <c r="M18" s="156">
        <v>13498</v>
      </c>
      <c r="N18" s="110"/>
      <c r="O18" s="192"/>
      <c r="P18" s="234">
        <v>12520</v>
      </c>
      <c r="Q18" s="156">
        <v>6000</v>
      </c>
      <c r="R18" s="163">
        <v>10000</v>
      </c>
    </row>
    <row r="19" spans="1:18" ht="12">
      <c r="A19" s="2">
        <v>4000</v>
      </c>
      <c r="B19" s="5" t="s">
        <v>62</v>
      </c>
      <c r="C19" s="5"/>
      <c r="D19" s="5"/>
      <c r="E19" s="5"/>
      <c r="F19" s="7"/>
      <c r="G19" s="25"/>
      <c r="H19" s="63" t="e">
        <f>#REF!+H18</f>
        <v>#REF!</v>
      </c>
      <c r="I19" s="145">
        <f>SUM(I18:I18)</f>
        <v>4000</v>
      </c>
      <c r="J19" s="110">
        <f>J18</f>
        <v>5073</v>
      </c>
      <c r="K19" s="145">
        <f>K18</f>
        <v>13498</v>
      </c>
      <c r="L19" s="133">
        <f>K19/Q19</f>
        <v>2.2496666666666667</v>
      </c>
      <c r="M19" s="160">
        <f>SUM(M18:M18)</f>
        <v>13498</v>
      </c>
      <c r="N19" s="226"/>
      <c r="O19" s="190"/>
      <c r="P19" s="158">
        <f>P18</f>
        <v>12520</v>
      </c>
      <c r="Q19" s="160">
        <f>SUM(Q18:Q18)</f>
        <v>6000</v>
      </c>
      <c r="R19" s="163">
        <v>10000</v>
      </c>
    </row>
    <row r="20" spans="1:18" ht="12">
      <c r="A20" s="2"/>
      <c r="B20" s="5"/>
      <c r="C20" s="5"/>
      <c r="D20" s="5"/>
      <c r="E20" s="5"/>
      <c r="F20" s="7"/>
      <c r="G20" s="25"/>
      <c r="H20" s="65"/>
      <c r="I20" s="106"/>
      <c r="J20" s="110"/>
      <c r="K20" s="65"/>
      <c r="L20" s="133"/>
      <c r="M20" s="156"/>
      <c r="N20" s="110"/>
      <c r="O20" s="192"/>
      <c r="P20" s="179"/>
      <c r="Q20" s="156"/>
      <c r="R20" s="163"/>
    </row>
    <row r="21" spans="1:26" ht="12">
      <c r="A21" s="2">
        <v>4213</v>
      </c>
      <c r="B21" s="5" t="s">
        <v>17</v>
      </c>
      <c r="C21" s="5" t="s">
        <v>79</v>
      </c>
      <c r="D21" s="5"/>
      <c r="E21" s="5"/>
      <c r="F21" s="7"/>
      <c r="G21" s="25"/>
      <c r="H21" s="65">
        <v>18000</v>
      </c>
      <c r="I21" s="106">
        <v>24000</v>
      </c>
      <c r="J21" s="110">
        <v>23990</v>
      </c>
      <c r="K21" s="65">
        <v>24000</v>
      </c>
      <c r="L21" s="133">
        <f>K21/Q21</f>
        <v>1</v>
      </c>
      <c r="M21" s="156">
        <v>24000</v>
      </c>
      <c r="N21" s="110">
        <v>6847</v>
      </c>
      <c r="O21" s="192">
        <f>N21/P21</f>
        <v>0.27388</v>
      </c>
      <c r="P21" s="158">
        <v>25000</v>
      </c>
      <c r="Q21" s="156">
        <v>24000</v>
      </c>
      <c r="R21" s="180">
        <v>24000</v>
      </c>
      <c r="S21" s="126"/>
      <c r="T21" s="126"/>
      <c r="U21" s="126"/>
      <c r="V21" s="126"/>
      <c r="W21" s="126"/>
      <c r="X21" s="126"/>
      <c r="Y21" s="43"/>
      <c r="Z21" s="43"/>
    </row>
    <row r="22" spans="1:18" ht="12">
      <c r="A22" s="2">
        <v>4272</v>
      </c>
      <c r="B22" s="5" t="s">
        <v>17</v>
      </c>
      <c r="C22" s="5" t="s">
        <v>18</v>
      </c>
      <c r="D22" s="5" t="s">
        <v>19</v>
      </c>
      <c r="E22" s="5"/>
      <c r="F22" s="7"/>
      <c r="G22" s="25"/>
      <c r="H22" s="65">
        <v>20681</v>
      </c>
      <c r="I22" s="106">
        <v>30351</v>
      </c>
      <c r="J22" s="110">
        <v>30351</v>
      </c>
      <c r="K22" s="65">
        <v>24136</v>
      </c>
      <c r="L22" s="133">
        <f>K22/Q22</f>
        <v>1</v>
      </c>
      <c r="M22" s="156">
        <v>24136</v>
      </c>
      <c r="N22" s="110">
        <f>P22/4</f>
        <v>7571.25</v>
      </c>
      <c r="O22" s="192">
        <f>N22/P22</f>
        <v>0.25</v>
      </c>
      <c r="P22" s="234">
        <v>30285</v>
      </c>
      <c r="Q22" s="156">
        <v>24136</v>
      </c>
      <c r="R22" s="163">
        <v>40619.12195121951</v>
      </c>
    </row>
    <row r="23" spans="1:18" ht="12">
      <c r="A23" s="2">
        <v>4275</v>
      </c>
      <c r="B23" s="5" t="s">
        <v>17</v>
      </c>
      <c r="C23" s="5" t="s">
        <v>18</v>
      </c>
      <c r="D23" s="5" t="s">
        <v>20</v>
      </c>
      <c r="E23" s="5"/>
      <c r="F23" s="7"/>
      <c r="G23" s="25"/>
      <c r="H23" s="65">
        <v>10000</v>
      </c>
      <c r="I23" s="106">
        <v>10000</v>
      </c>
      <c r="J23" s="110">
        <v>10000</v>
      </c>
      <c r="K23" s="65">
        <v>5487</v>
      </c>
      <c r="L23" s="133">
        <f>K23/Q23</f>
        <v>1</v>
      </c>
      <c r="M23" s="156">
        <v>5487</v>
      </c>
      <c r="N23" s="110">
        <f>P23/4</f>
        <v>1616</v>
      </c>
      <c r="O23" s="192">
        <f>N23/P23</f>
        <v>0.25</v>
      </c>
      <c r="P23" s="234">
        <v>6464</v>
      </c>
      <c r="Q23" s="156">
        <f>Q38</f>
        <v>5487</v>
      </c>
      <c r="R23" s="163">
        <v>6433.0344827586205</v>
      </c>
    </row>
    <row r="24" spans="1:18" ht="12">
      <c r="A24" s="2">
        <v>4275</v>
      </c>
      <c r="B24" s="5" t="s">
        <v>17</v>
      </c>
      <c r="C24" s="5" t="s">
        <v>18</v>
      </c>
      <c r="D24" s="5" t="s">
        <v>132</v>
      </c>
      <c r="E24" s="5"/>
      <c r="F24" s="7"/>
      <c r="G24" s="25"/>
      <c r="H24" s="65"/>
      <c r="I24" s="106"/>
      <c r="J24" s="110"/>
      <c r="K24" s="65">
        <v>3285</v>
      </c>
      <c r="L24" s="133">
        <f>K24/Q24</f>
        <v>1</v>
      </c>
      <c r="M24" s="156">
        <v>3285</v>
      </c>
      <c r="N24" s="110">
        <f>P24/4</f>
        <v>647.5</v>
      </c>
      <c r="O24" s="192">
        <f>N24/P24</f>
        <v>0.25</v>
      </c>
      <c r="P24" s="234">
        <v>2590</v>
      </c>
      <c r="Q24" s="156">
        <v>3285</v>
      </c>
      <c r="R24" s="163">
        <v>3285</v>
      </c>
    </row>
    <row r="25" spans="1:18" ht="12">
      <c r="A25" s="2">
        <v>4200</v>
      </c>
      <c r="B25" s="5" t="s">
        <v>63</v>
      </c>
      <c r="C25" s="5"/>
      <c r="D25" s="5"/>
      <c r="E25" s="5"/>
      <c r="F25" s="7"/>
      <c r="G25" s="25"/>
      <c r="H25" s="65">
        <f aca="true" t="shared" si="2" ref="H25:N25">SUM(H21:H24)</f>
        <v>48681</v>
      </c>
      <c r="I25" s="81">
        <f t="shared" si="2"/>
        <v>64351</v>
      </c>
      <c r="J25" s="111">
        <f t="shared" si="2"/>
        <v>64341</v>
      </c>
      <c r="K25" s="146">
        <f t="shared" si="2"/>
        <v>56908</v>
      </c>
      <c r="L25" s="146">
        <f t="shared" si="2"/>
        <v>4</v>
      </c>
      <c r="M25" s="65">
        <f t="shared" si="2"/>
        <v>56908</v>
      </c>
      <c r="N25" s="111">
        <f t="shared" si="2"/>
        <v>16681.75</v>
      </c>
      <c r="O25" s="192">
        <f>N25/P25</f>
        <v>0.25927897542703493</v>
      </c>
      <c r="P25" s="158">
        <f>SUM(P21:P24)</f>
        <v>64339</v>
      </c>
      <c r="Q25" s="158">
        <f>SUM(Q21:Q24)</f>
        <v>56908</v>
      </c>
      <c r="R25" s="163">
        <v>74337.15643397813</v>
      </c>
    </row>
    <row r="26" spans="1:18" ht="12">
      <c r="A26" s="2"/>
      <c r="B26" s="5"/>
      <c r="C26" s="5"/>
      <c r="D26" s="5"/>
      <c r="E26" s="5"/>
      <c r="F26" s="7"/>
      <c r="G26" s="25"/>
      <c r="H26" s="65"/>
      <c r="I26" s="106"/>
      <c r="J26" s="110"/>
      <c r="K26" s="65"/>
      <c r="L26" s="133"/>
      <c r="M26" s="156"/>
      <c r="N26" s="110"/>
      <c r="O26" s="192"/>
      <c r="P26" s="158"/>
      <c r="Q26" s="156"/>
      <c r="R26" s="163"/>
    </row>
    <row r="27" spans="1:18" ht="12">
      <c r="A27" s="2">
        <v>4544</v>
      </c>
      <c r="B27" s="5" t="s">
        <v>21</v>
      </c>
      <c r="C27" s="5" t="s">
        <v>22</v>
      </c>
      <c r="D27" s="5" t="s">
        <v>23</v>
      </c>
      <c r="E27" s="5"/>
      <c r="F27" s="7"/>
      <c r="G27" s="25"/>
      <c r="H27" s="65">
        <v>5641</v>
      </c>
      <c r="I27" s="106">
        <v>5000</v>
      </c>
      <c r="J27" s="110">
        <v>4545</v>
      </c>
      <c r="K27" s="65">
        <v>4656</v>
      </c>
      <c r="L27" s="133">
        <f>K27/Q27</f>
        <v>0.9312</v>
      </c>
      <c r="M27" s="156">
        <v>4656</v>
      </c>
      <c r="N27" s="110">
        <v>1001</v>
      </c>
      <c r="O27" s="192">
        <f>N27/P27</f>
        <v>0.2002</v>
      </c>
      <c r="P27" s="158">
        <v>5000</v>
      </c>
      <c r="Q27" s="156">
        <v>5000</v>
      </c>
      <c r="R27" s="163">
        <v>5000</v>
      </c>
    </row>
    <row r="28" spans="1:18" ht="12">
      <c r="A28" s="2">
        <v>4560</v>
      </c>
      <c r="B28" s="5" t="s">
        <v>21</v>
      </c>
      <c r="C28" s="5" t="s">
        <v>110</v>
      </c>
      <c r="D28" s="5" t="s">
        <v>149</v>
      </c>
      <c r="E28" s="5"/>
      <c r="F28" s="7"/>
      <c r="G28" s="25"/>
      <c r="H28" s="65"/>
      <c r="I28" s="115">
        <v>1238</v>
      </c>
      <c r="J28" s="110"/>
      <c r="K28" s="65"/>
      <c r="L28" s="133">
        <f>J28/I28</f>
        <v>0</v>
      </c>
      <c r="M28" s="156">
        <f>405+236</f>
        <v>641</v>
      </c>
      <c r="N28" s="110"/>
      <c r="O28" s="192"/>
      <c r="P28" s="158">
        <f>4867+1475</f>
        <v>6342</v>
      </c>
      <c r="Q28" s="159">
        <f>1238+237</f>
        <v>1475</v>
      </c>
      <c r="R28" s="163">
        <v>8902</v>
      </c>
    </row>
    <row r="29" spans="1:18" ht="12">
      <c r="A29" s="2">
        <v>4610</v>
      </c>
      <c r="B29" s="5" t="s">
        <v>24</v>
      </c>
      <c r="C29" s="5" t="s">
        <v>25</v>
      </c>
      <c r="D29" s="5"/>
      <c r="E29" s="5"/>
      <c r="F29" s="7"/>
      <c r="G29" s="25"/>
      <c r="H29" s="65"/>
      <c r="I29" s="106"/>
      <c r="J29" s="110"/>
      <c r="K29" s="65"/>
      <c r="L29" s="133"/>
      <c r="M29" s="156"/>
      <c r="N29" s="110"/>
      <c r="O29" s="192"/>
      <c r="P29" s="158"/>
      <c r="Q29" s="156"/>
      <c r="R29" s="163"/>
    </row>
    <row r="30" spans="1:18" ht="12">
      <c r="A30" s="2">
        <v>4615</v>
      </c>
      <c r="B30" s="5" t="s">
        <v>24</v>
      </c>
      <c r="C30" s="5" t="s">
        <v>26</v>
      </c>
      <c r="D30" s="5"/>
      <c r="E30" s="5"/>
      <c r="F30" s="7"/>
      <c r="G30" s="25"/>
      <c r="H30" s="65">
        <v>4500</v>
      </c>
      <c r="I30" s="106">
        <v>5000</v>
      </c>
      <c r="J30" s="110">
        <v>6000</v>
      </c>
      <c r="K30" s="65">
        <v>3135</v>
      </c>
      <c r="L30" s="133">
        <f>K30/Q30</f>
        <v>0.627</v>
      </c>
      <c r="M30" s="156">
        <v>3135</v>
      </c>
      <c r="N30" s="110"/>
      <c r="O30" s="192"/>
      <c r="P30" s="158">
        <v>3135</v>
      </c>
      <c r="Q30" s="156">
        <v>5000</v>
      </c>
      <c r="R30" s="163">
        <v>3135</v>
      </c>
    </row>
    <row r="31" spans="1:18" ht="12">
      <c r="A31" s="72">
        <v>4500</v>
      </c>
      <c r="B31" s="16" t="s">
        <v>64</v>
      </c>
      <c r="C31" s="5"/>
      <c r="D31" s="5"/>
      <c r="E31" s="5"/>
      <c r="F31" s="7"/>
      <c r="G31" s="25"/>
      <c r="H31" s="65">
        <f aca="true" t="shared" si="3" ref="H31:N31">SUM(H27:H30)</f>
        <v>10141</v>
      </c>
      <c r="I31" s="81">
        <f t="shared" si="3"/>
        <v>11238</v>
      </c>
      <c r="J31" s="111">
        <f t="shared" si="3"/>
        <v>10545</v>
      </c>
      <c r="K31" s="146">
        <f t="shared" si="3"/>
        <v>7791</v>
      </c>
      <c r="L31" s="146">
        <f t="shared" si="3"/>
        <v>1.5582</v>
      </c>
      <c r="M31" s="65">
        <f t="shared" si="3"/>
        <v>8432</v>
      </c>
      <c r="N31" s="111">
        <f t="shared" si="3"/>
        <v>1001</v>
      </c>
      <c r="O31" s="190">
        <f>N31/P31</f>
        <v>0.06914415970159564</v>
      </c>
      <c r="P31" s="158">
        <f>SUM(P27:P30)</f>
        <v>14477</v>
      </c>
      <c r="Q31" s="158">
        <f>SUM(Q27:Q30)</f>
        <v>11475</v>
      </c>
      <c r="R31" s="163">
        <v>17037</v>
      </c>
    </row>
    <row r="32" spans="1:18" ht="12">
      <c r="A32" s="73"/>
      <c r="B32" s="28"/>
      <c r="C32" s="29"/>
      <c r="D32" s="29"/>
      <c r="E32" s="29"/>
      <c r="F32" s="30"/>
      <c r="G32" s="25"/>
      <c r="H32" s="65"/>
      <c r="I32" s="106"/>
      <c r="J32" s="110"/>
      <c r="K32" s="65"/>
      <c r="L32" s="133"/>
      <c r="M32" s="156"/>
      <c r="N32" s="110"/>
      <c r="O32" s="192"/>
      <c r="P32" s="158"/>
      <c r="Q32" s="156"/>
      <c r="R32" s="163"/>
    </row>
    <row r="33" spans="1:27" s="18" customFormat="1" ht="12.75" thickBot="1">
      <c r="A33" s="74" t="s">
        <v>27</v>
      </c>
      <c r="B33" s="31"/>
      <c r="C33" s="31"/>
      <c r="D33" s="31"/>
      <c r="E33" s="31"/>
      <c r="F33" s="32"/>
      <c r="G33" s="33"/>
      <c r="H33" s="144" t="e">
        <f>H19+H25+H31</f>
        <v>#REF!</v>
      </c>
      <c r="I33" s="107">
        <f>I9+I16+I19+I25+I31</f>
        <v>124095</v>
      </c>
      <c r="J33" s="112">
        <f>J9+J16+J19+J25+J31</f>
        <v>118845</v>
      </c>
      <c r="K33" s="147">
        <f>K19+K25+K31+K16+K9</f>
        <v>128118</v>
      </c>
      <c r="L33" s="147">
        <f>L19+L25+L31+L16+L9</f>
        <v>18.48667033358798</v>
      </c>
      <c r="M33" s="224">
        <f>M19+M25+M31+M16+M9</f>
        <v>129260</v>
      </c>
      <c r="N33" s="227">
        <f>N19+N25+N31+N16+N9</f>
        <v>25162.75</v>
      </c>
      <c r="O33" s="225">
        <f>N33/P33</f>
        <v>0.18885849169894023</v>
      </c>
      <c r="P33" s="235">
        <f>P9+P16+P19+P25+P31</f>
        <v>133236</v>
      </c>
      <c r="Q33" s="161">
        <f>Q9+Q16+Q19+Q25+Q31</f>
        <v>123004</v>
      </c>
      <c r="R33" s="187">
        <v>143274.15643397812</v>
      </c>
      <c r="S33" s="127"/>
      <c r="T33" s="127"/>
      <c r="U33" s="127"/>
      <c r="V33" s="127"/>
      <c r="W33" s="127"/>
      <c r="X33" s="127"/>
      <c r="AA33" s="4"/>
    </row>
    <row r="34" spans="6:17" ht="12">
      <c r="F34" s="21"/>
      <c r="G34" s="34"/>
      <c r="I34" s="94" t="s">
        <v>116</v>
      </c>
      <c r="Q34" s="98">
        <f>(I33-Q33)/I33</f>
        <v>0.008791651557274668</v>
      </c>
    </row>
    <row r="35" spans="1:17" ht="12.75" thickBot="1">
      <c r="A35" s="76"/>
      <c r="B35" s="90" t="s">
        <v>100</v>
      </c>
      <c r="E35" s="34" t="s">
        <v>95</v>
      </c>
      <c r="I35" s="98"/>
      <c r="Q35" s="98"/>
    </row>
    <row r="36" spans="2:22" ht="12">
      <c r="B36" s="35"/>
      <c r="F36" s="21"/>
      <c r="G36" s="34"/>
      <c r="H36" s="53" t="s">
        <v>90</v>
      </c>
      <c r="J36" s="96" t="s">
        <v>91</v>
      </c>
      <c r="L36" s="19" t="s">
        <v>114</v>
      </c>
      <c r="M36" s="19"/>
      <c r="N36" s="19"/>
      <c r="O36" s="231" t="s">
        <v>155</v>
      </c>
      <c r="P36" s="232" t="s">
        <v>148</v>
      </c>
      <c r="Q36" s="233" t="s">
        <v>113</v>
      </c>
      <c r="R36" s="165" t="s">
        <v>145</v>
      </c>
      <c r="T36" s="101"/>
      <c r="U36" s="95"/>
      <c r="V36" s="38"/>
    </row>
    <row r="37" spans="6:22" ht="12">
      <c r="F37" s="21"/>
      <c r="G37" s="34"/>
      <c r="H37" s="100" t="s">
        <v>93</v>
      </c>
      <c r="J37" s="36">
        <v>82</v>
      </c>
      <c r="L37" s="12" t="s">
        <v>115</v>
      </c>
      <c r="O37" s="230" t="s">
        <v>157</v>
      </c>
      <c r="P37" s="219">
        <v>40619.12195121951</v>
      </c>
      <c r="Q37" s="142">
        <v>24136</v>
      </c>
      <c r="R37" s="164">
        <f>Q37/J37</f>
        <v>294.3414634146341</v>
      </c>
      <c r="T37" s="171"/>
      <c r="U37" s="95"/>
      <c r="V37" s="38"/>
    </row>
    <row r="38" spans="6:22" ht="12">
      <c r="F38" s="21"/>
      <c r="G38" s="34"/>
      <c r="H38" s="100" t="s">
        <v>94</v>
      </c>
      <c r="J38" s="36">
        <v>58</v>
      </c>
      <c r="L38" s="55" t="s">
        <v>92</v>
      </c>
      <c r="M38" s="95"/>
      <c r="N38" s="95"/>
      <c r="O38" s="230" t="s">
        <v>156</v>
      </c>
      <c r="P38" s="219">
        <v>6433.0344827586205</v>
      </c>
      <c r="Q38" s="142">
        <v>5487</v>
      </c>
      <c r="R38" s="164">
        <f>Q38/J38</f>
        <v>94.60344827586206</v>
      </c>
      <c r="T38" s="171"/>
      <c r="U38" s="95"/>
      <c r="V38" s="38"/>
    </row>
    <row r="39" spans="6:22" ht="12">
      <c r="F39" s="21"/>
      <c r="G39" s="34"/>
      <c r="H39" s="100"/>
      <c r="J39" s="36">
        <v>6</v>
      </c>
      <c r="L39" s="55"/>
      <c r="M39" s="95"/>
      <c r="N39" s="95"/>
      <c r="O39" s="229" t="s">
        <v>132</v>
      </c>
      <c r="P39" s="220">
        <v>3285</v>
      </c>
      <c r="Q39" s="222">
        <v>3285</v>
      </c>
      <c r="R39" s="223">
        <f>Q39/J39</f>
        <v>547.5</v>
      </c>
      <c r="T39" s="38"/>
      <c r="U39" s="95"/>
      <c r="V39" s="38"/>
    </row>
    <row r="40" spans="6:22" ht="12.75" thickBot="1">
      <c r="F40" s="21"/>
      <c r="G40" s="34"/>
      <c r="H40" s="54"/>
      <c r="J40" s="37"/>
      <c r="L40" s="55"/>
      <c r="M40" s="95"/>
      <c r="N40" s="95"/>
      <c r="O40" s="228"/>
      <c r="P40" s="221">
        <v>50337.15643397813</v>
      </c>
      <c r="Q40" s="143">
        <f>SUM(Q37:Q39)</f>
        <v>32908</v>
      </c>
      <c r="R40" s="38"/>
      <c r="S40" s="171"/>
      <c r="U40" s="95"/>
      <c r="V40" s="38"/>
    </row>
    <row r="41" spans="6:22" ht="12">
      <c r="F41" s="21"/>
      <c r="G41" s="34"/>
      <c r="J41" s="19"/>
      <c r="L41" s="55"/>
      <c r="M41" s="95"/>
      <c r="N41" s="95"/>
      <c r="O41" s="19" t="s">
        <v>133</v>
      </c>
      <c r="P41" s="51"/>
      <c r="Q41" s="51"/>
      <c r="R41" s="38"/>
      <c r="S41" s="38"/>
      <c r="U41" s="95"/>
      <c r="V41" s="38"/>
    </row>
    <row r="42" spans="6:22" ht="12">
      <c r="F42" s="21"/>
      <c r="G42" s="34"/>
      <c r="L42" s="55"/>
      <c r="M42" s="95"/>
      <c r="N42" s="95"/>
      <c r="O42" s="55" t="s">
        <v>158</v>
      </c>
      <c r="P42" s="43">
        <f>0.05*P40</f>
        <v>2516.8578216989067</v>
      </c>
      <c r="Q42" s="43">
        <f>0.05*Q40</f>
        <v>1645.4</v>
      </c>
      <c r="R42" s="38" t="s">
        <v>146</v>
      </c>
      <c r="S42" s="171"/>
      <c r="U42" s="95"/>
      <c r="V42" s="38"/>
    </row>
    <row r="43" spans="6:18" ht="12">
      <c r="F43" s="21"/>
      <c r="G43" s="34"/>
      <c r="J43" s="95"/>
      <c r="L43" s="55"/>
      <c r="M43" s="95"/>
      <c r="O43" s="55" t="s">
        <v>115</v>
      </c>
      <c r="P43" s="172">
        <f>(P33-P22-P23-P24-P19-P27)*0.14</f>
        <v>10692.78</v>
      </c>
      <c r="Q43" s="172">
        <f>(Q33-Q22-Q23-Q24-Q19-Q27)*0.14</f>
        <v>11073.44</v>
      </c>
      <c r="R43" s="38"/>
    </row>
    <row r="44" spans="6:19" ht="12">
      <c r="F44" s="21"/>
      <c r="G44" s="34"/>
      <c r="J44" s="95"/>
      <c r="L44" s="55"/>
      <c r="M44" s="95"/>
      <c r="N44" s="95"/>
      <c r="O44" s="171"/>
      <c r="P44" s="19">
        <f>P42+P43</f>
        <v>13209.637821698907</v>
      </c>
      <c r="Q44" s="19">
        <f>Q42+Q43</f>
        <v>12718.84</v>
      </c>
      <c r="R44" s="38"/>
      <c r="S44" s="38"/>
    </row>
    <row r="45" spans="6:19" ht="12">
      <c r="F45" s="21"/>
      <c r="G45" s="34"/>
      <c r="J45" s="95"/>
      <c r="L45" s="55"/>
      <c r="M45" s="95"/>
      <c r="N45" s="95"/>
      <c r="O45" s="55"/>
      <c r="Q45" s="19"/>
      <c r="R45" s="38"/>
      <c r="S45" s="38"/>
    </row>
    <row r="46" spans="6:19" ht="12">
      <c r="F46" s="21"/>
      <c r="G46" s="34"/>
      <c r="J46" s="95"/>
      <c r="L46" s="55"/>
      <c r="M46" s="95"/>
      <c r="N46" s="95"/>
      <c r="O46" s="55"/>
      <c r="Q46" s="19"/>
      <c r="R46" s="38"/>
      <c r="S46" s="38"/>
    </row>
    <row r="47" spans="6:19" ht="12">
      <c r="F47" s="21"/>
      <c r="G47" s="34"/>
      <c r="J47" s="95"/>
      <c r="L47" s="55"/>
      <c r="M47" s="95"/>
      <c r="N47" s="95"/>
      <c r="O47" s="55"/>
      <c r="Q47" s="19"/>
      <c r="R47" s="38"/>
      <c r="S47" s="38"/>
    </row>
    <row r="48" spans="6:19" ht="12">
      <c r="F48" s="21"/>
      <c r="G48" s="34"/>
      <c r="J48" s="95"/>
      <c r="L48" s="55"/>
      <c r="M48" s="95"/>
      <c r="N48" s="95"/>
      <c r="O48" s="55"/>
      <c r="Q48" s="19"/>
      <c r="R48" s="38"/>
      <c r="S48" s="38"/>
    </row>
    <row r="49" spans="6:19" ht="12">
      <c r="F49" s="21"/>
      <c r="G49" s="34"/>
      <c r="J49" s="95"/>
      <c r="L49" s="55"/>
      <c r="M49" s="95"/>
      <c r="N49" s="95"/>
      <c r="O49" s="55"/>
      <c r="Q49" s="19"/>
      <c r="R49" s="38"/>
      <c r="S49" s="38"/>
    </row>
    <row r="50" spans="6:19" ht="12">
      <c r="F50" s="21"/>
      <c r="G50" s="34"/>
      <c r="J50" s="95"/>
      <c r="L50" s="55"/>
      <c r="M50" s="95"/>
      <c r="N50" s="95"/>
      <c r="O50" s="55"/>
      <c r="Q50" s="19"/>
      <c r="R50" s="38"/>
      <c r="S50" s="38"/>
    </row>
    <row r="51" spans="6:19" ht="12">
      <c r="F51" s="21"/>
      <c r="G51" s="34"/>
      <c r="J51" s="95"/>
      <c r="L51" s="55"/>
      <c r="M51" s="95"/>
      <c r="N51" s="95"/>
      <c r="O51" s="55"/>
      <c r="Q51" s="19"/>
      <c r="R51" s="38"/>
      <c r="S51" s="38"/>
    </row>
    <row r="52" spans="6:19" ht="12">
      <c r="F52" s="21"/>
      <c r="G52" s="34"/>
      <c r="J52" s="95"/>
      <c r="L52" s="55"/>
      <c r="M52" s="95"/>
      <c r="N52" s="95"/>
      <c r="O52" s="55"/>
      <c r="Q52" s="19"/>
      <c r="R52" s="38"/>
      <c r="S52" s="38"/>
    </row>
    <row r="53" spans="6:19" ht="12">
      <c r="F53" s="21"/>
      <c r="G53" s="34"/>
      <c r="J53" s="95"/>
      <c r="L53" s="55"/>
      <c r="M53" s="95"/>
      <c r="N53" s="95"/>
      <c r="O53" s="55"/>
      <c r="Q53" s="19"/>
      <c r="R53" s="38"/>
      <c r="S53" s="38"/>
    </row>
    <row r="54" spans="6:19" ht="12">
      <c r="F54" s="21"/>
      <c r="G54" s="34"/>
      <c r="J54" s="95"/>
      <c r="L54" s="55"/>
      <c r="M54" s="95"/>
      <c r="N54" s="95"/>
      <c r="O54" s="55"/>
      <c r="Q54" s="19"/>
      <c r="R54" s="38"/>
      <c r="S54" s="38"/>
    </row>
    <row r="55" spans="1:17" ht="10.5" customHeight="1" thickBot="1">
      <c r="A55" s="70"/>
      <c r="C55" s="18"/>
      <c r="E55" s="20"/>
      <c r="F55" s="39"/>
      <c r="G55" s="40"/>
      <c r="O55" s="55"/>
      <c r="Q55" s="19"/>
    </row>
    <row r="56" spans="1:27" ht="39" customHeight="1" thickBot="1" thickTop="1">
      <c r="A56" s="77" t="s">
        <v>3</v>
      </c>
      <c r="B56" s="8" t="s">
        <v>4</v>
      </c>
      <c r="C56" s="9"/>
      <c r="D56" s="9"/>
      <c r="E56" s="9"/>
      <c r="F56" s="10"/>
      <c r="G56" s="41"/>
      <c r="H56" s="24" t="s">
        <v>77</v>
      </c>
      <c r="I56" s="97" t="s">
        <v>106</v>
      </c>
      <c r="J56" s="97" t="s">
        <v>143</v>
      </c>
      <c r="K56" s="173" t="s">
        <v>151</v>
      </c>
      <c r="L56" s="189" t="s">
        <v>152</v>
      </c>
      <c r="M56" s="154" t="s">
        <v>140</v>
      </c>
      <c r="N56" s="97" t="s">
        <v>159</v>
      </c>
      <c r="O56" s="189" t="s">
        <v>160</v>
      </c>
      <c r="P56" s="193" t="s">
        <v>161</v>
      </c>
      <c r="Q56" s="108" t="s">
        <v>112</v>
      </c>
      <c r="R56" s="162" t="s">
        <v>144</v>
      </c>
      <c r="S56" s="128"/>
      <c r="T56" s="128"/>
      <c r="U56" s="128"/>
      <c r="V56" s="128"/>
      <c r="W56" s="128"/>
      <c r="X56" s="128"/>
      <c r="Y56" s="4"/>
      <c r="Z56" s="4"/>
      <c r="AA56" s="4"/>
    </row>
    <row r="57" spans="1:18" ht="12">
      <c r="A57" s="1">
        <v>5001</v>
      </c>
      <c r="B57" s="5" t="s">
        <v>29</v>
      </c>
      <c r="C57" s="5" t="s">
        <v>30</v>
      </c>
      <c r="D57" s="5"/>
      <c r="E57" s="5"/>
      <c r="F57" s="7"/>
      <c r="G57" s="82"/>
      <c r="H57" s="87" t="e">
        <f>Salaries!F2+Salaries!F3</f>
        <v>#VALUE!</v>
      </c>
      <c r="I57" s="105">
        <v>71838</v>
      </c>
      <c r="J57" s="155">
        <v>72502</v>
      </c>
      <c r="K57" s="217">
        <f>71829+1785</f>
        <v>73614</v>
      </c>
      <c r="L57" s="216">
        <f>K57/Q57</f>
        <v>1.005149104108121</v>
      </c>
      <c r="M57" s="155">
        <v>71415</v>
      </c>
      <c r="N57" s="218">
        <v>18270</v>
      </c>
      <c r="O57" s="202">
        <f>N57/P57</f>
        <v>0.24104409822484468</v>
      </c>
      <c r="P57" s="203">
        <f>Salaries!J3+Salaries!J4</f>
        <v>75795.25959999999</v>
      </c>
      <c r="Q57" s="194">
        <f>Salaries!G3+Salaries!G4</f>
        <v>73236.8956</v>
      </c>
      <c r="R57" s="169">
        <v>74271.6</v>
      </c>
    </row>
    <row r="58" spans="1:18" ht="12">
      <c r="A58" s="1">
        <v>5004</v>
      </c>
      <c r="B58" s="5" t="s">
        <v>31</v>
      </c>
      <c r="C58" s="5"/>
      <c r="D58" s="5"/>
      <c r="E58" s="5"/>
      <c r="F58" s="7"/>
      <c r="G58" s="42"/>
      <c r="H58" s="29">
        <f>Salaries!F4</f>
        <v>8467.135600000001</v>
      </c>
      <c r="I58" s="106">
        <v>900</v>
      </c>
      <c r="J58" s="150">
        <v>264</v>
      </c>
      <c r="K58" s="179">
        <v>-142</v>
      </c>
      <c r="L58" s="152">
        <f>K58/Q58</f>
        <v>-0.47333333333333333</v>
      </c>
      <c r="M58" s="166">
        <v>500</v>
      </c>
      <c r="N58" s="166">
        <v>-1785</v>
      </c>
      <c r="O58" s="152">
        <f>N58/P58</f>
        <v>11.9</v>
      </c>
      <c r="P58" s="64">
        <v>-150</v>
      </c>
      <c r="Q58" s="195">
        <v>300</v>
      </c>
      <c r="R58" s="163">
        <v>520</v>
      </c>
    </row>
    <row r="59" spans="1:24" s="43" customFormat="1" ht="12">
      <c r="A59" s="78">
        <v>5005</v>
      </c>
      <c r="B59" s="69" t="s">
        <v>65</v>
      </c>
      <c r="C59" s="66"/>
      <c r="D59" s="66"/>
      <c r="E59" s="66"/>
      <c r="F59" s="67"/>
      <c r="G59" s="68"/>
      <c r="H59" s="88">
        <f>Salaries!F5</f>
        <v>300</v>
      </c>
      <c r="I59" s="106">
        <v>1100</v>
      </c>
      <c r="J59" s="150">
        <v>-98</v>
      </c>
      <c r="K59" s="204">
        <v>689</v>
      </c>
      <c r="L59" s="152">
        <f>K59/-Q59</f>
        <v>6.89</v>
      </c>
      <c r="M59" s="166">
        <v>500</v>
      </c>
      <c r="N59" s="166">
        <v>3</v>
      </c>
      <c r="O59" s="152">
        <f>N59/P59</f>
        <v>0.004285714285714286</v>
      </c>
      <c r="P59" s="64">
        <v>700</v>
      </c>
      <c r="Q59" s="195">
        <v>-100</v>
      </c>
      <c r="R59" s="180">
        <v>520</v>
      </c>
      <c r="S59" s="126"/>
      <c r="T59" s="126"/>
      <c r="U59" s="126"/>
      <c r="V59" s="126"/>
      <c r="W59" s="126"/>
      <c r="X59" s="126"/>
    </row>
    <row r="60" spans="1:18" ht="12">
      <c r="A60" s="1">
        <v>5000</v>
      </c>
      <c r="B60" s="5" t="s">
        <v>66</v>
      </c>
      <c r="C60" s="5"/>
      <c r="D60" s="5"/>
      <c r="E60" s="5"/>
      <c r="F60" s="7"/>
      <c r="G60" s="42"/>
      <c r="H60" s="64" t="e">
        <f aca="true" t="shared" si="4" ref="H60:N60">SUM(H57:H59)</f>
        <v>#VALUE!</v>
      </c>
      <c r="I60" s="81">
        <f t="shared" si="4"/>
        <v>73838</v>
      </c>
      <c r="J60" s="111">
        <f t="shared" si="4"/>
        <v>72668</v>
      </c>
      <c r="K60" s="158">
        <f t="shared" si="4"/>
        <v>74161</v>
      </c>
      <c r="L60" s="65">
        <f t="shared" si="4"/>
        <v>7.421815770774788</v>
      </c>
      <c r="M60" s="65">
        <f t="shared" si="4"/>
        <v>72415</v>
      </c>
      <c r="N60" s="65">
        <f t="shared" si="4"/>
        <v>16488</v>
      </c>
      <c r="O60" s="152">
        <f>N60/P60</f>
        <v>0.21596625758280874</v>
      </c>
      <c r="P60" s="64">
        <f>SUM(P57:P59)</f>
        <v>76345.25959999999</v>
      </c>
      <c r="Q60" s="196">
        <f>SUM(Q57:Q59)</f>
        <v>73436.8956</v>
      </c>
      <c r="R60" s="163">
        <v>75311.6</v>
      </c>
    </row>
    <row r="61" spans="1:18" ht="12">
      <c r="A61" s="1"/>
      <c r="B61" s="5"/>
      <c r="C61" s="5"/>
      <c r="D61" s="5"/>
      <c r="E61" s="5"/>
      <c r="F61" s="7"/>
      <c r="G61" s="42"/>
      <c r="H61" s="62"/>
      <c r="I61" s="106"/>
      <c r="J61" s="150"/>
      <c r="K61" s="205"/>
      <c r="L61" s="152"/>
      <c r="M61" s="166"/>
      <c r="N61" s="166"/>
      <c r="O61" s="152"/>
      <c r="P61" s="64"/>
      <c r="Q61" s="195"/>
      <c r="R61" s="163"/>
    </row>
    <row r="62" spans="1:19" ht="12">
      <c r="A62" s="1">
        <v>5012</v>
      </c>
      <c r="B62" s="5" t="s">
        <v>32</v>
      </c>
      <c r="C62" s="5" t="s">
        <v>33</v>
      </c>
      <c r="D62" s="5"/>
      <c r="E62" s="5"/>
      <c r="F62" s="7"/>
      <c r="G62" s="42"/>
      <c r="H62" s="65">
        <f>458*12</f>
        <v>5496</v>
      </c>
      <c r="I62" s="106">
        <v>5500</v>
      </c>
      <c r="J62" s="150">
        <v>4590</v>
      </c>
      <c r="K62" s="158">
        <v>5060</v>
      </c>
      <c r="L62" s="152">
        <f>K62/Q62</f>
        <v>1.0021786492374727</v>
      </c>
      <c r="M62" s="166">
        <v>4999</v>
      </c>
      <c r="N62" s="166">
        <v>1383</v>
      </c>
      <c r="O62" s="152">
        <f>N62/P62</f>
        <v>0.24847287100251528</v>
      </c>
      <c r="P62" s="64">
        <f>K62*1.1</f>
        <v>5566</v>
      </c>
      <c r="Q62" s="195">
        <f>J62*1.1</f>
        <v>5049</v>
      </c>
      <c r="R62" s="163">
        <v>5248.95</v>
      </c>
      <c r="S62" s="175"/>
    </row>
    <row r="63" spans="1:18" ht="12">
      <c r="A63" s="1">
        <v>5013</v>
      </c>
      <c r="B63" s="5" t="s">
        <v>32</v>
      </c>
      <c r="C63" s="5" t="s">
        <v>34</v>
      </c>
      <c r="D63" s="5"/>
      <c r="E63" s="5"/>
      <c r="F63" s="7"/>
      <c r="G63" s="42"/>
      <c r="H63" s="65">
        <v>410</v>
      </c>
      <c r="I63" s="106">
        <v>450</v>
      </c>
      <c r="J63" s="150">
        <v>397</v>
      </c>
      <c r="K63" s="158">
        <v>378</v>
      </c>
      <c r="L63" s="152">
        <f>K63/Q63</f>
        <v>0.8655827799404625</v>
      </c>
      <c r="M63" s="166">
        <v>395</v>
      </c>
      <c r="N63" s="166">
        <v>197</v>
      </c>
      <c r="O63" s="152">
        <f>N63/P63</f>
        <v>0.49634668682287725</v>
      </c>
      <c r="P63" s="64">
        <f>K63*1.05</f>
        <v>396.90000000000003</v>
      </c>
      <c r="Q63" s="195">
        <f>J63*1.1</f>
        <v>436.70000000000005</v>
      </c>
      <c r="R63" s="163">
        <v>414.75</v>
      </c>
    </row>
    <row r="64" spans="1:26" ht="12">
      <c r="A64" s="1">
        <v>5025</v>
      </c>
      <c r="B64" s="5" t="s">
        <v>32</v>
      </c>
      <c r="C64" s="5" t="s">
        <v>35</v>
      </c>
      <c r="D64" s="5"/>
      <c r="E64" s="5"/>
      <c r="F64" s="7"/>
      <c r="G64" s="42"/>
      <c r="H64" s="65">
        <v>1190</v>
      </c>
      <c r="I64" s="106">
        <v>1300</v>
      </c>
      <c r="J64" s="150">
        <v>1376</v>
      </c>
      <c r="K64" s="158">
        <v>1484</v>
      </c>
      <c r="L64" s="152">
        <f>K64/Q64</f>
        <v>1.0271317829457365</v>
      </c>
      <c r="M64" s="166">
        <v>1488</v>
      </c>
      <c r="N64" s="166">
        <v>691</v>
      </c>
      <c r="O64" s="152">
        <f>N64/P64</f>
        <v>0.42330311198235726</v>
      </c>
      <c r="P64" s="64">
        <f>K64*1.1</f>
        <v>1632.4</v>
      </c>
      <c r="Q64" s="195">
        <f>J64*1.05</f>
        <v>1444.8</v>
      </c>
      <c r="R64" s="180">
        <v>1562.4</v>
      </c>
      <c r="S64" s="177">
        <f>P64/P60</f>
        <v>0.021381812159035483</v>
      </c>
      <c r="T64" s="126"/>
      <c r="U64" s="126"/>
      <c r="V64" s="126"/>
      <c r="W64" s="126"/>
      <c r="X64" s="126"/>
      <c r="Y64" s="43"/>
      <c r="Z64" s="43"/>
    </row>
    <row r="65" spans="1:18" ht="12">
      <c r="A65" s="1">
        <v>5010</v>
      </c>
      <c r="B65" s="5" t="s">
        <v>67</v>
      </c>
      <c r="C65" s="5"/>
      <c r="D65" s="5"/>
      <c r="E65" s="5"/>
      <c r="F65" s="7"/>
      <c r="G65" s="42"/>
      <c r="H65" s="65">
        <f aca="true" t="shared" si="5" ref="H65:N65">SUM(H62:H64)</f>
        <v>7096</v>
      </c>
      <c r="I65" s="81">
        <f t="shared" si="5"/>
        <v>7250</v>
      </c>
      <c r="J65" s="111">
        <f t="shared" si="5"/>
        <v>6363</v>
      </c>
      <c r="K65" s="158">
        <f t="shared" si="5"/>
        <v>6922</v>
      </c>
      <c r="L65" s="65">
        <f t="shared" si="5"/>
        <v>2.8948932121236717</v>
      </c>
      <c r="M65" s="65">
        <f t="shared" si="5"/>
        <v>6882</v>
      </c>
      <c r="N65" s="65">
        <f t="shared" si="5"/>
        <v>2271</v>
      </c>
      <c r="O65" s="152">
        <f>N65/P65</f>
        <v>0.29900069779995525</v>
      </c>
      <c r="P65" s="64">
        <f>SUM(P62:P64)</f>
        <v>7595.299999999999</v>
      </c>
      <c r="Q65" s="196">
        <f>SUM(Q62:Q64)</f>
        <v>6930.5</v>
      </c>
      <c r="R65" s="163">
        <v>7226.1</v>
      </c>
    </row>
    <row r="66" spans="1:18" ht="12">
      <c r="A66" s="1"/>
      <c r="B66" s="5"/>
      <c r="C66" s="5"/>
      <c r="D66" s="5"/>
      <c r="E66" s="5"/>
      <c r="F66" s="7"/>
      <c r="G66" s="42"/>
      <c r="H66" s="65"/>
      <c r="I66" s="106"/>
      <c r="J66" s="150"/>
      <c r="K66" s="158"/>
      <c r="L66" s="152"/>
      <c r="M66" s="166"/>
      <c r="N66" s="166"/>
      <c r="O66" s="152"/>
      <c r="P66" s="64"/>
      <c r="Q66" s="195"/>
      <c r="R66" s="163"/>
    </row>
    <row r="67" spans="1:19" ht="12">
      <c r="A67" s="1">
        <v>5016</v>
      </c>
      <c r="B67" s="5" t="s">
        <v>36</v>
      </c>
      <c r="C67" s="5" t="s">
        <v>37</v>
      </c>
      <c r="D67" s="5"/>
      <c r="E67" s="5"/>
      <c r="F67" s="7"/>
      <c r="G67" s="42"/>
      <c r="H67" s="65" t="e">
        <f>H60*0.0765</f>
        <v>#VALUE!</v>
      </c>
      <c r="I67" s="106">
        <f>I60*0.0765</f>
        <v>5648.607</v>
      </c>
      <c r="J67" s="150">
        <v>5536</v>
      </c>
      <c r="K67" s="158">
        <v>5473</v>
      </c>
      <c r="L67" s="152">
        <f>K67/Q67</f>
        <v>0.9742035400000041</v>
      </c>
      <c r="M67" s="166">
        <v>5315</v>
      </c>
      <c r="N67" s="166">
        <v>1359</v>
      </c>
      <c r="O67" s="152">
        <f>N67/P67</f>
        <v>0.23268904939780888</v>
      </c>
      <c r="P67" s="64">
        <f>P60*0.0765</f>
        <v>5840.412359399999</v>
      </c>
      <c r="Q67" s="195">
        <f>0.0765*Q60</f>
        <v>5617.9225134</v>
      </c>
      <c r="R67" s="163">
        <v>5761.3374</v>
      </c>
      <c r="S67" s="178">
        <v>0.0765</v>
      </c>
    </row>
    <row r="68" spans="1:19" ht="12">
      <c r="A68" s="1">
        <v>5018</v>
      </c>
      <c r="B68" s="5" t="s">
        <v>36</v>
      </c>
      <c r="C68" s="5" t="s">
        <v>38</v>
      </c>
      <c r="D68" s="5"/>
      <c r="E68" s="5"/>
      <c r="F68" s="7"/>
      <c r="G68" s="42"/>
      <c r="H68" s="65" t="e">
        <f>H60*0.0161</f>
        <v>#VALUE!</v>
      </c>
      <c r="I68" s="106">
        <v>1200</v>
      </c>
      <c r="J68" s="150">
        <v>1052</v>
      </c>
      <c r="K68" s="158">
        <v>956</v>
      </c>
      <c r="L68" s="152">
        <f>K68/Q68</f>
        <v>0.8508483320299688</v>
      </c>
      <c r="M68" s="166">
        <v>1015</v>
      </c>
      <c r="N68" s="166">
        <v>72</v>
      </c>
      <c r="O68" s="152">
        <f>N68/P68</f>
        <v>0.07254493032677485</v>
      </c>
      <c r="P68" s="64">
        <f>P60*0.013</f>
        <v>992.4883747999999</v>
      </c>
      <c r="Q68" s="195">
        <f>Q67*0.2</f>
        <v>1123.58450268</v>
      </c>
      <c r="R68" s="181">
        <v>1203</v>
      </c>
      <c r="S68" s="178">
        <v>0.013</v>
      </c>
    </row>
    <row r="69" spans="1:26" ht="12">
      <c r="A69" s="1">
        <v>5015</v>
      </c>
      <c r="B69" s="5" t="s">
        <v>68</v>
      </c>
      <c r="C69" s="5"/>
      <c r="D69" s="5"/>
      <c r="E69" s="5"/>
      <c r="F69" s="7"/>
      <c r="G69" s="42"/>
      <c r="H69" s="65" t="e">
        <f>H67+H68</f>
        <v>#VALUE!</v>
      </c>
      <c r="I69" s="106">
        <f>I67+I68</f>
        <v>6848.607</v>
      </c>
      <c r="J69" s="150">
        <v>6587</v>
      </c>
      <c r="K69" s="206">
        <f>K67+K68</f>
        <v>6429</v>
      </c>
      <c r="L69" s="148">
        <f>L67+L68</f>
        <v>1.8250518720299729</v>
      </c>
      <c r="M69" s="148">
        <f>M67+M68</f>
        <v>6330</v>
      </c>
      <c r="N69" s="148">
        <f>N67+N68</f>
        <v>1431</v>
      </c>
      <c r="O69" s="152">
        <f>N69/P69</f>
        <v>0.2094278924377704</v>
      </c>
      <c r="P69" s="64">
        <f>SUM(P67:P68)</f>
        <v>6832.9007341999995</v>
      </c>
      <c r="Q69" s="195">
        <f>Q67+Q68</f>
        <v>6741.50701608</v>
      </c>
      <c r="R69" s="182">
        <v>6964.3374</v>
      </c>
      <c r="S69" s="126">
        <f>P60+P65+P69</f>
        <v>90773.46033419999</v>
      </c>
      <c r="T69" s="126"/>
      <c r="U69" s="126"/>
      <c r="V69" s="126"/>
      <c r="W69" s="126"/>
      <c r="X69" s="126"/>
      <c r="Y69" s="43"/>
      <c r="Z69" s="43"/>
    </row>
    <row r="70" spans="1:18" ht="12">
      <c r="A70" s="1"/>
      <c r="B70" s="5"/>
      <c r="C70" s="5"/>
      <c r="D70" s="5"/>
      <c r="E70" s="5"/>
      <c r="F70" s="7"/>
      <c r="G70" s="42"/>
      <c r="H70" s="65"/>
      <c r="I70" s="106"/>
      <c r="J70" s="150"/>
      <c r="K70" s="158"/>
      <c r="L70" s="152"/>
      <c r="M70" s="188"/>
      <c r="N70" s="188"/>
      <c r="O70" s="152"/>
      <c r="P70" s="64"/>
      <c r="Q70" s="195"/>
      <c r="R70" s="163"/>
    </row>
    <row r="71" spans="1:18" ht="12">
      <c r="A71" s="1">
        <v>6007</v>
      </c>
      <c r="B71" s="5" t="s">
        <v>39</v>
      </c>
      <c r="C71" s="5" t="s">
        <v>40</v>
      </c>
      <c r="D71" s="5"/>
      <c r="E71" s="5"/>
      <c r="F71" s="7"/>
      <c r="G71" s="42"/>
      <c r="H71" s="65">
        <v>0</v>
      </c>
      <c r="I71" s="106"/>
      <c r="J71" s="150"/>
      <c r="K71" s="158"/>
      <c r="L71" s="152"/>
      <c r="M71" s="166"/>
      <c r="N71" s="166"/>
      <c r="O71" s="152"/>
      <c r="P71" s="64"/>
      <c r="Q71" s="195"/>
      <c r="R71" s="163"/>
    </row>
    <row r="72" spans="1:18" ht="12">
      <c r="A72" s="1">
        <v>6009</v>
      </c>
      <c r="B72" s="5" t="s">
        <v>39</v>
      </c>
      <c r="C72" s="5" t="s">
        <v>76</v>
      </c>
      <c r="D72" s="5"/>
      <c r="E72" s="5"/>
      <c r="F72" s="7"/>
      <c r="G72" s="42"/>
      <c r="H72" s="65">
        <v>750</v>
      </c>
      <c r="I72" s="106"/>
      <c r="J72" s="150">
        <v>57</v>
      </c>
      <c r="K72" s="158"/>
      <c r="L72" s="152"/>
      <c r="M72" s="166"/>
      <c r="N72" s="166"/>
      <c r="O72" s="152"/>
      <c r="P72" s="64"/>
      <c r="Q72" s="195"/>
      <c r="R72" s="163"/>
    </row>
    <row r="73" spans="1:18" ht="12">
      <c r="A73" s="1">
        <v>6005</v>
      </c>
      <c r="B73" s="5" t="s">
        <v>69</v>
      </c>
      <c r="C73" s="5"/>
      <c r="D73" s="5"/>
      <c r="E73" s="5"/>
      <c r="F73" s="7"/>
      <c r="G73" s="42"/>
      <c r="H73" s="65">
        <f>H72</f>
        <v>750</v>
      </c>
      <c r="I73" s="106"/>
      <c r="J73" s="150">
        <v>57</v>
      </c>
      <c r="K73" s="158"/>
      <c r="L73" s="152"/>
      <c r="M73" s="166"/>
      <c r="N73" s="166"/>
      <c r="O73" s="152"/>
      <c r="P73" s="27"/>
      <c r="Q73" s="195"/>
      <c r="R73" s="163"/>
    </row>
    <row r="74" spans="1:18" ht="12">
      <c r="A74" s="1"/>
      <c r="B74" s="5"/>
      <c r="C74" s="5"/>
      <c r="D74" s="5"/>
      <c r="E74" s="5"/>
      <c r="F74" s="7"/>
      <c r="G74" s="42"/>
      <c r="H74" s="65"/>
      <c r="I74" s="106"/>
      <c r="J74" s="150"/>
      <c r="K74" s="158"/>
      <c r="L74" s="152"/>
      <c r="M74" s="166"/>
      <c r="N74" s="166"/>
      <c r="O74" s="152"/>
      <c r="P74" s="27"/>
      <c r="Q74" s="195"/>
      <c r="R74" s="163"/>
    </row>
    <row r="75" spans="1:18" ht="12">
      <c r="A75" s="1">
        <v>6012</v>
      </c>
      <c r="B75" s="5" t="s">
        <v>41</v>
      </c>
      <c r="C75" s="5"/>
      <c r="D75" s="5"/>
      <c r="E75" s="5"/>
      <c r="F75" s="7"/>
      <c r="G75" s="42"/>
      <c r="H75" s="65">
        <f>549*1.05</f>
        <v>576.45</v>
      </c>
      <c r="I75" s="106">
        <v>950</v>
      </c>
      <c r="J75" s="150">
        <v>625</v>
      </c>
      <c r="K75" s="158">
        <v>807</v>
      </c>
      <c r="L75" s="152">
        <f>K75/Q75</f>
        <v>1.1955555555555555</v>
      </c>
      <c r="M75" s="166">
        <v>800</v>
      </c>
      <c r="N75" s="166"/>
      <c r="O75" s="152">
        <f>N75/P75</f>
        <v>0</v>
      </c>
      <c r="P75" s="27">
        <v>840</v>
      </c>
      <c r="Q75" s="195">
        <v>675</v>
      </c>
      <c r="R75" s="163">
        <v>840</v>
      </c>
    </row>
    <row r="76" spans="1:18" ht="12">
      <c r="A76" s="1">
        <v>6015</v>
      </c>
      <c r="B76" s="5" t="s">
        <v>99</v>
      </c>
      <c r="C76" s="5"/>
      <c r="D76" s="5"/>
      <c r="E76" s="5"/>
      <c r="F76" s="7"/>
      <c r="G76" s="42"/>
      <c r="H76" s="65">
        <v>0</v>
      </c>
      <c r="I76" s="106">
        <v>0</v>
      </c>
      <c r="J76" s="150">
        <f>K76/11*12</f>
        <v>33.81818181818182</v>
      </c>
      <c r="K76" s="158">
        <v>31</v>
      </c>
      <c r="L76" s="152"/>
      <c r="M76" s="166">
        <v>11</v>
      </c>
      <c r="N76" s="166">
        <v>0</v>
      </c>
      <c r="O76" s="152">
        <f>N76/P76</f>
        <v>0</v>
      </c>
      <c r="P76" s="236">
        <v>1500</v>
      </c>
      <c r="Q76" s="195"/>
      <c r="R76" s="163"/>
    </row>
    <row r="77" spans="1:18" ht="12">
      <c r="A77" s="1">
        <v>6018</v>
      </c>
      <c r="B77" s="5" t="s">
        <v>42</v>
      </c>
      <c r="C77" s="5"/>
      <c r="D77" s="5"/>
      <c r="E77" s="5"/>
      <c r="F77" s="7"/>
      <c r="G77" s="42"/>
      <c r="H77" s="65">
        <v>2400</v>
      </c>
      <c r="I77" s="106">
        <v>2700</v>
      </c>
      <c r="J77" s="150">
        <v>1626</v>
      </c>
      <c r="K77" s="158">
        <v>1657</v>
      </c>
      <c r="L77" s="152">
        <f>K77/Q77</f>
        <v>0.9705382768113394</v>
      </c>
      <c r="M77" s="166">
        <v>1602</v>
      </c>
      <c r="N77" s="166">
        <v>43</v>
      </c>
      <c r="O77" s="152">
        <f>N77/P77</f>
        <v>0.024401316536147997</v>
      </c>
      <c r="P77" s="64">
        <f>M77*1.1</f>
        <v>1762.2</v>
      </c>
      <c r="Q77" s="195">
        <f>J77*1.05</f>
        <v>1707.3000000000002</v>
      </c>
      <c r="R77" s="163">
        <v>1762.2</v>
      </c>
    </row>
    <row r="78" spans="1:18" ht="12">
      <c r="A78" s="1">
        <v>6025</v>
      </c>
      <c r="B78" s="5" t="s">
        <v>43</v>
      </c>
      <c r="C78" s="5"/>
      <c r="D78" s="5"/>
      <c r="E78" s="5"/>
      <c r="F78" s="7"/>
      <c r="G78" s="42"/>
      <c r="H78" s="65">
        <v>4850</v>
      </c>
      <c r="I78" s="106">
        <v>0</v>
      </c>
      <c r="J78" s="150">
        <v>258</v>
      </c>
      <c r="K78" s="158">
        <v>52</v>
      </c>
      <c r="L78" s="152"/>
      <c r="M78" s="166"/>
      <c r="N78" s="166"/>
      <c r="O78" s="152"/>
      <c r="P78" s="64"/>
      <c r="Q78" s="195"/>
      <c r="R78" s="163"/>
    </row>
    <row r="79" spans="1:18" ht="12">
      <c r="A79" s="1">
        <v>6030</v>
      </c>
      <c r="B79" s="5" t="s">
        <v>44</v>
      </c>
      <c r="C79" s="5"/>
      <c r="D79" s="5"/>
      <c r="E79" s="5" t="s">
        <v>162</v>
      </c>
      <c r="F79" s="7"/>
      <c r="G79" s="42"/>
      <c r="H79" s="65">
        <v>0</v>
      </c>
      <c r="I79" s="106"/>
      <c r="J79" s="150">
        <v>414</v>
      </c>
      <c r="K79" s="158">
        <v>63</v>
      </c>
      <c r="L79" s="152"/>
      <c r="M79" s="166">
        <v>63</v>
      </c>
      <c r="N79" s="239">
        <v>761</v>
      </c>
      <c r="O79" s="152">
        <f aca="true" t="shared" si="6" ref="O79:O84">N79/P79</f>
        <v>10.871428571428572</v>
      </c>
      <c r="P79" s="64">
        <v>70</v>
      </c>
      <c r="Q79" s="195"/>
      <c r="R79" s="163">
        <v>70</v>
      </c>
    </row>
    <row r="80" spans="1:18" ht="12">
      <c r="A80" s="1">
        <v>6038</v>
      </c>
      <c r="B80" s="5" t="s">
        <v>134</v>
      </c>
      <c r="C80" s="5"/>
      <c r="D80" s="5"/>
      <c r="E80" s="5"/>
      <c r="F80" s="7"/>
      <c r="G80" s="42"/>
      <c r="H80" s="65"/>
      <c r="I80" s="113"/>
      <c r="J80" s="150"/>
      <c r="K80" s="158">
        <v>547</v>
      </c>
      <c r="L80" s="152"/>
      <c r="M80" s="166">
        <v>541</v>
      </c>
      <c r="N80" s="166">
        <v>18</v>
      </c>
      <c r="O80" s="152">
        <f t="shared" si="6"/>
        <v>0.031687351465540005</v>
      </c>
      <c r="P80" s="64">
        <f>M80*1.05</f>
        <v>568.0500000000001</v>
      </c>
      <c r="Q80" s="197"/>
      <c r="R80" s="163">
        <v>568.0500000000001</v>
      </c>
    </row>
    <row r="81" spans="1:26" ht="12">
      <c r="A81" s="1">
        <v>6039</v>
      </c>
      <c r="B81" s="5" t="s">
        <v>45</v>
      </c>
      <c r="C81" s="5"/>
      <c r="D81" s="5"/>
      <c r="E81" s="5"/>
      <c r="F81" s="7"/>
      <c r="G81" s="42"/>
      <c r="H81" s="65">
        <f>536*1.05</f>
        <v>562.8000000000001</v>
      </c>
      <c r="I81" s="106">
        <v>850</v>
      </c>
      <c r="J81" s="150">
        <v>1312</v>
      </c>
      <c r="K81" s="158">
        <f>1228+97</f>
        <v>1325</v>
      </c>
      <c r="L81" s="152">
        <f>K81/Q81</f>
        <v>0.9618176538908245</v>
      </c>
      <c r="M81" s="166">
        <v>1351</v>
      </c>
      <c r="N81" s="166">
        <v>387</v>
      </c>
      <c r="O81" s="152">
        <f t="shared" si="6"/>
        <v>0.2728137887279264</v>
      </c>
      <c r="P81" s="64">
        <f>M81*1.05</f>
        <v>1418.55</v>
      </c>
      <c r="Q81" s="195">
        <f>J81*1.05</f>
        <v>1377.6000000000001</v>
      </c>
      <c r="R81" s="163">
        <v>1418.55</v>
      </c>
      <c r="T81" s="126"/>
      <c r="U81" s="126"/>
      <c r="V81" s="126"/>
      <c r="W81" s="126"/>
      <c r="X81" s="126"/>
      <c r="Y81" s="43"/>
      <c r="Z81" s="43"/>
    </row>
    <row r="82" spans="1:18" ht="12">
      <c r="A82" s="1">
        <v>6040</v>
      </c>
      <c r="B82" s="5" t="s">
        <v>46</v>
      </c>
      <c r="C82" s="5"/>
      <c r="D82" s="5"/>
      <c r="E82" s="5"/>
      <c r="F82" s="7"/>
      <c r="G82" s="42"/>
      <c r="H82" s="51">
        <f>279*1.05</f>
        <v>292.95</v>
      </c>
      <c r="I82" s="106">
        <v>500</v>
      </c>
      <c r="J82" s="150">
        <v>557</v>
      </c>
      <c r="K82" s="207">
        <v>437</v>
      </c>
      <c r="L82" s="152">
        <f>K82/Q82</f>
        <v>0.7472001367872103</v>
      </c>
      <c r="M82" s="166">
        <v>437</v>
      </c>
      <c r="N82" s="166">
        <v>523</v>
      </c>
      <c r="O82" s="152">
        <f t="shared" si="6"/>
        <v>1.1398060368312084</v>
      </c>
      <c r="P82" s="64">
        <f>K82*1.05</f>
        <v>458.85</v>
      </c>
      <c r="Q82" s="195">
        <f>J82*1.05</f>
        <v>584.85</v>
      </c>
      <c r="R82" s="163">
        <v>639</v>
      </c>
    </row>
    <row r="83" spans="1:18" ht="12">
      <c r="A83" s="1">
        <v>6042</v>
      </c>
      <c r="B83" s="5" t="s">
        <v>47</v>
      </c>
      <c r="C83" s="5"/>
      <c r="D83" s="5"/>
      <c r="E83" s="5"/>
      <c r="F83" s="7"/>
      <c r="G83" s="42"/>
      <c r="H83" s="65">
        <v>1500</v>
      </c>
      <c r="I83" s="106">
        <v>800</v>
      </c>
      <c r="J83" s="150">
        <v>802</v>
      </c>
      <c r="K83" s="158">
        <v>829</v>
      </c>
      <c r="L83" s="152">
        <f>K83/Q83</f>
        <v>0.9844436527728299</v>
      </c>
      <c r="M83" s="166">
        <v>829</v>
      </c>
      <c r="N83" s="166"/>
      <c r="O83" s="152">
        <f t="shared" si="6"/>
        <v>0</v>
      </c>
      <c r="P83" s="64">
        <f>K83*1.05</f>
        <v>870.45</v>
      </c>
      <c r="Q83" s="195">
        <f>J83*1.05</f>
        <v>842.1</v>
      </c>
      <c r="R83" s="163">
        <v>870.45</v>
      </c>
    </row>
    <row r="84" spans="1:18" ht="12">
      <c r="A84" s="1">
        <v>6043</v>
      </c>
      <c r="B84" s="5" t="s">
        <v>48</v>
      </c>
      <c r="C84" s="5"/>
      <c r="D84" s="5"/>
      <c r="E84" s="5"/>
      <c r="F84" s="7"/>
      <c r="G84" s="42"/>
      <c r="H84" s="65">
        <f>161*1.05</f>
        <v>169.05</v>
      </c>
      <c r="I84" s="106">
        <v>160</v>
      </c>
      <c r="J84" s="150">
        <v>280</v>
      </c>
      <c r="K84" s="158">
        <v>199</v>
      </c>
      <c r="L84" s="152">
        <f>K84/Q84</f>
        <v>0.7107142857142857</v>
      </c>
      <c r="M84" s="166">
        <v>199</v>
      </c>
      <c r="N84" s="166">
        <v>199</v>
      </c>
      <c r="O84" s="152">
        <f t="shared" si="6"/>
        <v>1</v>
      </c>
      <c r="P84" s="64">
        <v>199</v>
      </c>
      <c r="Q84" s="195">
        <v>280</v>
      </c>
      <c r="R84" s="163">
        <v>199</v>
      </c>
    </row>
    <row r="85" spans="1:18" ht="12">
      <c r="A85" s="1">
        <v>6045</v>
      </c>
      <c r="B85" s="5" t="s">
        <v>49</v>
      </c>
      <c r="C85" s="5" t="s">
        <v>85</v>
      </c>
      <c r="D85" s="5"/>
      <c r="E85" s="5"/>
      <c r="F85" s="7"/>
      <c r="G85" s="42"/>
      <c r="H85" s="65">
        <v>918</v>
      </c>
      <c r="I85" s="106">
        <v>250</v>
      </c>
      <c r="J85" s="150">
        <f>K85/11*12</f>
        <v>0</v>
      </c>
      <c r="K85" s="158"/>
      <c r="L85" s="152"/>
      <c r="M85" s="166"/>
      <c r="N85" s="166"/>
      <c r="O85" s="152"/>
      <c r="P85" s="64">
        <v>0</v>
      </c>
      <c r="Q85" s="195">
        <v>0</v>
      </c>
      <c r="R85" s="163">
        <v>0</v>
      </c>
    </row>
    <row r="86" spans="1:18" ht="12">
      <c r="A86" s="1">
        <v>6050</v>
      </c>
      <c r="B86" s="5" t="s">
        <v>50</v>
      </c>
      <c r="C86" s="5"/>
      <c r="D86" s="5"/>
      <c r="E86" s="5"/>
      <c r="F86" s="7"/>
      <c r="G86" s="42"/>
      <c r="H86" s="65">
        <v>750</v>
      </c>
      <c r="I86" s="106">
        <v>1050</v>
      </c>
      <c r="J86" s="150">
        <v>498</v>
      </c>
      <c r="K86" s="158">
        <v>808</v>
      </c>
      <c r="L86" s="152">
        <f aca="true" t="shared" si="7" ref="L86:L92">K86/Q86</f>
        <v>1.3466666666666667</v>
      </c>
      <c r="M86" s="166">
        <v>841</v>
      </c>
      <c r="N86" s="166">
        <v>14</v>
      </c>
      <c r="O86" s="152">
        <f aca="true" t="shared" si="8" ref="O86:O93">N86/P86</f>
        <v>0.01647058823529412</v>
      </c>
      <c r="P86" s="64">
        <v>850</v>
      </c>
      <c r="Q86" s="195">
        <v>600</v>
      </c>
      <c r="R86" s="163">
        <v>800</v>
      </c>
    </row>
    <row r="87" spans="1:18" ht="12">
      <c r="A87" s="1">
        <v>6059</v>
      </c>
      <c r="B87" s="5" t="s">
        <v>51</v>
      </c>
      <c r="C87" s="5"/>
      <c r="D87" s="5"/>
      <c r="E87" s="5"/>
      <c r="F87" s="7"/>
      <c r="G87" s="42"/>
      <c r="H87" s="65">
        <v>1400</v>
      </c>
      <c r="I87" s="106">
        <v>1000</v>
      </c>
      <c r="J87" s="150">
        <v>1422</v>
      </c>
      <c r="K87" s="158">
        <v>1903</v>
      </c>
      <c r="L87" s="152">
        <f t="shared" si="7"/>
        <v>1.5858333333333334</v>
      </c>
      <c r="M87" s="166">
        <v>2027</v>
      </c>
      <c r="N87" s="166">
        <v>42</v>
      </c>
      <c r="O87" s="152">
        <f t="shared" si="8"/>
        <v>0.021</v>
      </c>
      <c r="P87" s="64">
        <v>2000</v>
      </c>
      <c r="Q87" s="195">
        <v>1200</v>
      </c>
      <c r="R87" s="163">
        <v>2000</v>
      </c>
    </row>
    <row r="88" spans="1:18" ht="12">
      <c r="A88" s="1">
        <v>6061</v>
      </c>
      <c r="B88" s="5" t="s">
        <v>52</v>
      </c>
      <c r="C88" s="5"/>
      <c r="D88" s="5"/>
      <c r="E88" s="5"/>
      <c r="F88" s="7"/>
      <c r="G88" s="42"/>
      <c r="H88" s="65">
        <f>2955*1.05</f>
        <v>3102.75</v>
      </c>
      <c r="I88" s="106">
        <v>2900</v>
      </c>
      <c r="J88" s="150">
        <v>2876</v>
      </c>
      <c r="K88" s="158">
        <v>2867</v>
      </c>
      <c r="L88" s="152">
        <f t="shared" si="7"/>
        <v>0.9494006225577852</v>
      </c>
      <c r="M88" s="166">
        <v>2882</v>
      </c>
      <c r="N88" s="166">
        <f>165+644</f>
        <v>809</v>
      </c>
      <c r="O88" s="152">
        <f t="shared" si="8"/>
        <v>0.268739515338748</v>
      </c>
      <c r="P88" s="64">
        <f>K88*1.05</f>
        <v>3010.35</v>
      </c>
      <c r="Q88" s="195">
        <f>J88*1.05</f>
        <v>3019.8</v>
      </c>
      <c r="R88" s="163">
        <v>3026.1</v>
      </c>
    </row>
    <row r="89" spans="1:18" ht="12">
      <c r="A89" s="1">
        <v>6065</v>
      </c>
      <c r="B89" s="5" t="s">
        <v>53</v>
      </c>
      <c r="C89" s="5"/>
      <c r="D89" s="5"/>
      <c r="E89" s="5"/>
      <c r="F89" s="7"/>
      <c r="G89" s="42"/>
      <c r="H89" s="65"/>
      <c r="I89" s="106"/>
      <c r="J89" s="150">
        <v>76</v>
      </c>
      <c r="K89" s="158">
        <v>150</v>
      </c>
      <c r="L89" s="152">
        <f t="shared" si="7"/>
        <v>1.875</v>
      </c>
      <c r="M89" s="166">
        <v>159</v>
      </c>
      <c r="N89" s="166">
        <v>38</v>
      </c>
      <c r="O89" s="152">
        <f t="shared" si="8"/>
        <v>0.24126984126984127</v>
      </c>
      <c r="P89" s="64">
        <f>K89*1.05</f>
        <v>157.5</v>
      </c>
      <c r="Q89" s="195">
        <v>80</v>
      </c>
      <c r="R89" s="163">
        <v>166.95000000000002</v>
      </c>
    </row>
    <row r="90" spans="1:18" ht="12">
      <c r="A90" s="1">
        <v>6066</v>
      </c>
      <c r="B90" s="5" t="s">
        <v>135</v>
      </c>
      <c r="C90" s="5"/>
      <c r="D90" s="5"/>
      <c r="E90" s="5"/>
      <c r="F90" s="7"/>
      <c r="G90" s="42"/>
      <c r="H90" s="65">
        <f>336*1.05</f>
        <v>352.8</v>
      </c>
      <c r="I90" s="106">
        <v>360</v>
      </c>
      <c r="J90" s="150">
        <v>380</v>
      </c>
      <c r="K90" s="158">
        <v>416</v>
      </c>
      <c r="L90" s="152">
        <f t="shared" si="7"/>
        <v>1.0426065162907268</v>
      </c>
      <c r="M90" s="166">
        <v>412</v>
      </c>
      <c r="N90" s="166">
        <v>112</v>
      </c>
      <c r="O90" s="152">
        <f t="shared" si="8"/>
        <v>0.2564102564102564</v>
      </c>
      <c r="P90" s="64">
        <f>K90*1.05</f>
        <v>436.8</v>
      </c>
      <c r="Q90" s="195">
        <f>J90*1.05</f>
        <v>399</v>
      </c>
      <c r="R90" s="163">
        <v>432.6</v>
      </c>
    </row>
    <row r="91" spans="1:18" ht="12">
      <c r="A91" s="1">
        <v>6078</v>
      </c>
      <c r="B91" s="5" t="s">
        <v>54</v>
      </c>
      <c r="C91" s="5"/>
      <c r="D91" s="5"/>
      <c r="E91" s="5"/>
      <c r="F91" s="7"/>
      <c r="G91" s="42"/>
      <c r="H91" s="65">
        <f>912*1.05</f>
        <v>957.6</v>
      </c>
      <c r="I91" s="106">
        <v>1200</v>
      </c>
      <c r="J91" s="150">
        <v>891</v>
      </c>
      <c r="K91" s="158">
        <v>946</v>
      </c>
      <c r="L91" s="152">
        <f t="shared" si="7"/>
        <v>1.051111111111111</v>
      </c>
      <c r="M91" s="166">
        <v>995</v>
      </c>
      <c r="N91" s="166">
        <v>87</v>
      </c>
      <c r="O91" s="152">
        <f t="shared" si="8"/>
        <v>0.087</v>
      </c>
      <c r="P91" s="64">
        <v>1000</v>
      </c>
      <c r="Q91" s="195">
        <v>900</v>
      </c>
      <c r="R91" s="163">
        <v>1000</v>
      </c>
    </row>
    <row r="92" spans="1:18" ht="12">
      <c r="A92" s="1">
        <v>6088</v>
      </c>
      <c r="B92" s="5" t="s">
        <v>55</v>
      </c>
      <c r="C92" s="5" t="s">
        <v>61</v>
      </c>
      <c r="D92" s="5"/>
      <c r="E92" s="99" t="s">
        <v>150</v>
      </c>
      <c r="F92" s="7"/>
      <c r="G92" s="42"/>
      <c r="H92" s="65">
        <v>5200</v>
      </c>
      <c r="I92" s="106">
        <v>6500</v>
      </c>
      <c r="J92" s="150">
        <f>34+110+10+6456</f>
        <v>6610</v>
      </c>
      <c r="K92" s="158">
        <v>7706</v>
      </c>
      <c r="L92" s="152">
        <f t="shared" si="7"/>
        <v>1.2843333333333333</v>
      </c>
      <c r="M92" s="166">
        <v>8059</v>
      </c>
      <c r="N92" s="166">
        <v>1188</v>
      </c>
      <c r="O92" s="152">
        <f t="shared" si="8"/>
        <v>0.198</v>
      </c>
      <c r="P92" s="64">
        <v>6000</v>
      </c>
      <c r="Q92" s="195">
        <v>6000</v>
      </c>
      <c r="R92" s="183">
        <v>6000</v>
      </c>
    </row>
    <row r="93" spans="1:26" ht="12">
      <c r="A93" s="1">
        <v>6080</v>
      </c>
      <c r="B93" s="5" t="s">
        <v>71</v>
      </c>
      <c r="C93" s="5"/>
      <c r="D93" s="5"/>
      <c r="E93" s="5"/>
      <c r="F93" s="7"/>
      <c r="G93" s="42"/>
      <c r="H93" s="80">
        <f aca="true" t="shared" si="9" ref="H93:N93">SUM(H75:H92)</f>
        <v>23032.399999999998</v>
      </c>
      <c r="I93" s="114">
        <f t="shared" si="9"/>
        <v>19220</v>
      </c>
      <c r="J93" s="150">
        <f t="shared" si="9"/>
        <v>18660.818181818184</v>
      </c>
      <c r="K93" s="205">
        <f t="shared" si="9"/>
        <v>20743</v>
      </c>
      <c r="L93" s="62">
        <f t="shared" si="9"/>
        <v>14.705221144825</v>
      </c>
      <c r="M93" s="62">
        <f t="shared" si="9"/>
        <v>21208</v>
      </c>
      <c r="N93" s="62">
        <f t="shared" si="9"/>
        <v>4221</v>
      </c>
      <c r="O93" s="152">
        <f t="shared" si="8"/>
        <v>0.1996523466600447</v>
      </c>
      <c r="P93" s="200">
        <f>SUM(P75:P92)</f>
        <v>21141.75</v>
      </c>
      <c r="Q93" s="198">
        <f>SUM(Q75:Q92)</f>
        <v>17665.65</v>
      </c>
      <c r="R93" s="170">
        <v>19792.9</v>
      </c>
      <c r="S93" s="52"/>
      <c r="T93" s="52"/>
      <c r="U93" s="52"/>
      <c r="V93" s="52"/>
      <c r="W93" s="52"/>
      <c r="X93" s="52"/>
      <c r="Y93" s="84"/>
      <c r="Z93" s="44"/>
    </row>
    <row r="94" spans="1:26" ht="12">
      <c r="A94" s="1">
        <v>6090</v>
      </c>
      <c r="B94" s="5" t="s">
        <v>97</v>
      </c>
      <c r="C94" s="5"/>
      <c r="D94" s="5"/>
      <c r="E94" s="99"/>
      <c r="F94" s="7"/>
      <c r="G94" s="42"/>
      <c r="H94" s="80">
        <v>408</v>
      </c>
      <c r="I94" s="106"/>
      <c r="J94" s="150">
        <v>450</v>
      </c>
      <c r="K94" s="208"/>
      <c r="L94" s="152"/>
      <c r="M94" s="166"/>
      <c r="N94" s="166"/>
      <c r="O94" s="152"/>
      <c r="P94" s="44"/>
      <c r="Q94" s="195"/>
      <c r="R94" s="170"/>
      <c r="S94" s="52"/>
      <c r="T94" s="52"/>
      <c r="U94" s="52"/>
      <c r="V94" s="52"/>
      <c r="W94" s="52"/>
      <c r="X94" s="52"/>
      <c r="Y94" s="52"/>
      <c r="Z94" s="52"/>
    </row>
    <row r="95" spans="1:18" ht="12">
      <c r="A95" s="1">
        <v>6097</v>
      </c>
      <c r="B95" s="5" t="s">
        <v>75</v>
      </c>
      <c r="C95" s="5"/>
      <c r="D95" s="5"/>
      <c r="E95" s="5"/>
      <c r="F95" s="7"/>
      <c r="G95" s="42"/>
      <c r="H95" s="65">
        <v>400</v>
      </c>
      <c r="I95" s="106">
        <v>400</v>
      </c>
      <c r="J95" s="150">
        <v>805</v>
      </c>
      <c r="K95" s="158">
        <f>120+490</f>
        <v>610</v>
      </c>
      <c r="L95" s="152">
        <f aca="true" t="shared" si="10" ref="L95:L100">K95/Q95</f>
        <v>0.8133333333333334</v>
      </c>
      <c r="M95" s="166">
        <v>490</v>
      </c>
      <c r="N95" s="166">
        <f>103+40</f>
        <v>143</v>
      </c>
      <c r="O95" s="152">
        <f aca="true" t="shared" si="11" ref="O95:O105">N95/P95</f>
        <v>0.19066666666666668</v>
      </c>
      <c r="P95" s="27">
        <v>750</v>
      </c>
      <c r="Q95" s="195">
        <v>750</v>
      </c>
      <c r="R95" s="163">
        <v>750</v>
      </c>
    </row>
    <row r="96" spans="1:18" ht="12">
      <c r="A96" s="1">
        <v>6100</v>
      </c>
      <c r="B96" s="5" t="s">
        <v>56</v>
      </c>
      <c r="C96" s="5"/>
      <c r="D96" s="5"/>
      <c r="E96" s="5"/>
      <c r="F96" s="7"/>
      <c r="G96" s="42"/>
      <c r="H96" s="65">
        <v>1000</v>
      </c>
      <c r="I96" s="106">
        <v>1300</v>
      </c>
      <c r="J96" s="150">
        <v>1491</v>
      </c>
      <c r="K96" s="158">
        <v>1246</v>
      </c>
      <c r="L96" s="152">
        <f t="shared" si="10"/>
        <v>0.7958864296892466</v>
      </c>
      <c r="M96" s="166">
        <v>1217</v>
      </c>
      <c r="N96" s="166">
        <v>338</v>
      </c>
      <c r="O96" s="152">
        <f t="shared" si="11"/>
        <v>0.2583505312237255</v>
      </c>
      <c r="P96" s="64">
        <f>K96*1.05</f>
        <v>1308.3</v>
      </c>
      <c r="Q96" s="195">
        <f>J96*1.05</f>
        <v>1565.55</v>
      </c>
      <c r="R96" s="163">
        <v>1277.8500000000001</v>
      </c>
    </row>
    <row r="97" spans="1:18" ht="12">
      <c r="A97" s="1">
        <v>6125</v>
      </c>
      <c r="B97" s="5" t="s">
        <v>57</v>
      </c>
      <c r="C97" s="5"/>
      <c r="D97" s="5"/>
      <c r="E97" s="5"/>
      <c r="F97" s="7"/>
      <c r="G97" s="42"/>
      <c r="H97" s="81">
        <v>400</v>
      </c>
      <c r="I97" s="106">
        <v>420</v>
      </c>
      <c r="J97" s="150">
        <v>449</v>
      </c>
      <c r="K97" s="158">
        <v>411</v>
      </c>
      <c r="L97" s="152">
        <f t="shared" si="10"/>
        <v>0.8717785555202036</v>
      </c>
      <c r="M97" s="166">
        <v>407</v>
      </c>
      <c r="N97" s="166">
        <v>66</v>
      </c>
      <c r="O97" s="152">
        <f t="shared" si="11"/>
        <v>0.15444015444015444</v>
      </c>
      <c r="P97" s="64">
        <f>M97*1.05</f>
        <v>427.35</v>
      </c>
      <c r="Q97" s="195">
        <f>J97*1.05</f>
        <v>471.45000000000005</v>
      </c>
      <c r="R97" s="163">
        <v>427.35</v>
      </c>
    </row>
    <row r="98" spans="1:18" ht="12.75" thickBot="1">
      <c r="A98" s="1">
        <v>6150</v>
      </c>
      <c r="B98" s="5" t="s">
        <v>58</v>
      </c>
      <c r="C98" s="5"/>
      <c r="D98" s="5"/>
      <c r="E98" s="5"/>
      <c r="F98" s="7"/>
      <c r="G98" s="42"/>
      <c r="H98" s="91">
        <v>295</v>
      </c>
      <c r="I98" s="106">
        <v>50</v>
      </c>
      <c r="J98" s="150">
        <v>31</v>
      </c>
      <c r="K98" s="209">
        <v>14</v>
      </c>
      <c r="L98" s="152">
        <f t="shared" si="10"/>
        <v>0.35</v>
      </c>
      <c r="M98" s="166">
        <v>14</v>
      </c>
      <c r="N98" s="166"/>
      <c r="O98" s="152">
        <f t="shared" si="11"/>
        <v>0</v>
      </c>
      <c r="P98" s="64">
        <f>M98*1.05</f>
        <v>14.700000000000001</v>
      </c>
      <c r="Q98" s="195">
        <v>40</v>
      </c>
      <c r="R98" s="163">
        <v>45</v>
      </c>
    </row>
    <row r="99" spans="1:18" ht="12.75" thickBot="1">
      <c r="A99" s="1">
        <v>6160</v>
      </c>
      <c r="B99" s="5" t="s">
        <v>59</v>
      </c>
      <c r="C99" s="5"/>
      <c r="D99" s="5"/>
      <c r="E99" s="5"/>
      <c r="F99" s="7"/>
      <c r="G99" s="42"/>
      <c r="H99" s="103">
        <f>(119000-14600-H27-8858)*0.14</f>
        <v>12586.140000000001</v>
      </c>
      <c r="I99" s="115">
        <v>12161</v>
      </c>
      <c r="J99" s="150">
        <v>10821</v>
      </c>
      <c r="K99" s="158">
        <v>12336</v>
      </c>
      <c r="L99" s="152">
        <f t="shared" si="10"/>
        <v>0.9698997707338091</v>
      </c>
      <c r="M99" s="166">
        <v>10983</v>
      </c>
      <c r="N99" s="166">
        <v>1180</v>
      </c>
      <c r="O99" s="152">
        <f t="shared" si="11"/>
        <v>0.08932871710242234</v>
      </c>
      <c r="P99" s="201">
        <f>P44</f>
        <v>13209.637821698907</v>
      </c>
      <c r="Q99" s="199">
        <f>Q44</f>
        <v>12718.84</v>
      </c>
      <c r="R99" s="163">
        <v>13428.037821698905</v>
      </c>
    </row>
    <row r="100" spans="1:18" ht="12">
      <c r="A100" s="1">
        <v>6210</v>
      </c>
      <c r="B100" s="5" t="s">
        <v>70</v>
      </c>
      <c r="C100" s="5"/>
      <c r="D100" s="5"/>
      <c r="E100" s="5" t="s">
        <v>96</v>
      </c>
      <c r="F100" s="7"/>
      <c r="G100" s="42"/>
      <c r="H100" s="63">
        <v>200</v>
      </c>
      <c r="I100" s="106">
        <v>174</v>
      </c>
      <c r="J100" s="150">
        <v>259</v>
      </c>
      <c r="K100" s="210">
        <v>379</v>
      </c>
      <c r="L100" s="152">
        <f t="shared" si="10"/>
        <v>1.3936385364956794</v>
      </c>
      <c r="M100" s="166">
        <v>412</v>
      </c>
      <c r="N100" s="166">
        <v>46</v>
      </c>
      <c r="O100" s="152">
        <f t="shared" si="11"/>
        <v>0.11559241110692299</v>
      </c>
      <c r="P100" s="64">
        <f>K100*1.05</f>
        <v>397.95</v>
      </c>
      <c r="Q100" s="195">
        <f>J100*1.05</f>
        <v>271.95</v>
      </c>
      <c r="R100" s="163">
        <v>350</v>
      </c>
    </row>
    <row r="101" spans="1:19" ht="12">
      <c r="A101" s="1"/>
      <c r="B101" s="5" t="s">
        <v>147</v>
      </c>
      <c r="C101" s="5"/>
      <c r="D101" s="5"/>
      <c r="E101" s="5"/>
      <c r="F101" s="7"/>
      <c r="G101" s="25"/>
      <c r="H101" s="63"/>
      <c r="I101" s="106"/>
      <c r="J101" s="150"/>
      <c r="K101" s="210"/>
      <c r="L101" s="152"/>
      <c r="M101" s="166"/>
      <c r="N101" s="166">
        <v>548</v>
      </c>
      <c r="O101" s="152">
        <f t="shared" si="11"/>
        <v>0.21076923076923076</v>
      </c>
      <c r="P101" s="236">
        <v>2600</v>
      </c>
      <c r="Q101" s="195"/>
      <c r="R101" s="163">
        <v>1961</v>
      </c>
      <c r="S101" s="176">
        <f>R101/R103</f>
        <v>0.015376270686591241</v>
      </c>
    </row>
    <row r="102" spans="1:18" ht="12">
      <c r="A102" s="1"/>
      <c r="B102" s="5" t="s">
        <v>98</v>
      </c>
      <c r="C102" s="5"/>
      <c r="D102" s="5"/>
      <c r="E102" s="5"/>
      <c r="F102" s="7"/>
      <c r="G102" s="25"/>
      <c r="H102" s="83">
        <f>SUM(H94:H100)</f>
        <v>15289.140000000001</v>
      </c>
      <c r="I102" s="116">
        <f>SUM(I94:I100)</f>
        <v>14505</v>
      </c>
      <c r="J102" s="111">
        <f>SUM(J94:J101)</f>
        <v>14306</v>
      </c>
      <c r="K102" s="111">
        <f>SUM(K94:K101)</f>
        <v>14996</v>
      </c>
      <c r="L102" s="111">
        <f>SUM(L94:L101)</f>
        <v>5.1945366257722725</v>
      </c>
      <c r="M102" s="111">
        <f>SUM(M94:M101)</f>
        <v>13523</v>
      </c>
      <c r="N102" s="158">
        <f>SUM(N94:N101)</f>
        <v>2321</v>
      </c>
      <c r="O102" s="152">
        <f t="shared" si="11"/>
        <v>0.12406498365137421</v>
      </c>
      <c r="P102" s="64">
        <f>SUM(P94:P101)</f>
        <v>18707.937821698906</v>
      </c>
      <c r="Q102" s="196">
        <f>SUM(Q94:Q101)</f>
        <v>15817.79</v>
      </c>
      <c r="R102" s="163">
        <v>18239.237821698905</v>
      </c>
    </row>
    <row r="103" spans="1:27" ht="12">
      <c r="A103" s="1"/>
      <c r="B103" s="5" t="s">
        <v>72</v>
      </c>
      <c r="C103" s="5"/>
      <c r="D103" s="5"/>
      <c r="E103" s="11"/>
      <c r="F103" s="7"/>
      <c r="G103" s="25"/>
      <c r="H103" s="64" t="e">
        <f aca="true" t="shared" si="12" ref="H103:N103">H102+H93+H73+H69+H65+H60</f>
        <v>#VALUE!</v>
      </c>
      <c r="I103" s="81">
        <f t="shared" si="12"/>
        <v>121661.607</v>
      </c>
      <c r="J103" s="111">
        <f t="shared" si="12"/>
        <v>118641.81818181818</v>
      </c>
      <c r="K103" s="158">
        <f t="shared" si="12"/>
        <v>123251</v>
      </c>
      <c r="L103" s="65">
        <f t="shared" si="12"/>
        <v>32.041518625525704</v>
      </c>
      <c r="M103" s="65">
        <f t="shared" si="12"/>
        <v>120358</v>
      </c>
      <c r="N103" s="65">
        <f t="shared" si="12"/>
        <v>26732</v>
      </c>
      <c r="O103" s="152">
        <f t="shared" si="11"/>
        <v>0.2046497912306885</v>
      </c>
      <c r="P103" s="64">
        <f>P102+P93+P73+P69+P65+P60</f>
        <v>130623.14815589889</v>
      </c>
      <c r="Q103" s="196">
        <f>Q102+Q93+Q73+Q69+Q65+Q60</f>
        <v>120592.34261608002</v>
      </c>
      <c r="R103" s="184">
        <v>127534.17522169891</v>
      </c>
      <c r="S103" s="34"/>
      <c r="T103" s="34"/>
      <c r="U103" s="34"/>
      <c r="V103" s="34"/>
      <c r="W103" s="34"/>
      <c r="X103" s="34"/>
      <c r="Y103" s="85"/>
      <c r="Z103" s="45"/>
      <c r="AA103" s="27"/>
    </row>
    <row r="104" spans="1:27" ht="12">
      <c r="A104" s="1"/>
      <c r="B104" s="5"/>
      <c r="C104" s="5"/>
      <c r="D104" s="5"/>
      <c r="E104" s="11" t="s">
        <v>84</v>
      </c>
      <c r="F104" s="7"/>
      <c r="G104" s="25"/>
      <c r="H104" s="81" t="e">
        <f>H103*0.02</f>
        <v>#VALUE!</v>
      </c>
      <c r="I104" s="106">
        <v>2433</v>
      </c>
      <c r="J104" s="150">
        <v>0</v>
      </c>
      <c r="K104" s="158"/>
      <c r="L104" s="152"/>
      <c r="M104" s="166"/>
      <c r="N104" s="166"/>
      <c r="O104" s="152">
        <f t="shared" si="11"/>
        <v>0</v>
      </c>
      <c r="P104" s="64">
        <f>P103*0.02</f>
        <v>2612.462963117978</v>
      </c>
      <c r="Q104" s="195">
        <f>Q103*0.02</f>
        <v>2411.8468523216</v>
      </c>
      <c r="R104" s="163">
        <v>2626</v>
      </c>
      <c r="AA104" s="27"/>
    </row>
    <row r="105" spans="1:27" ht="12.75" thickBot="1">
      <c r="A105" s="79" t="s">
        <v>60</v>
      </c>
      <c r="B105" s="46"/>
      <c r="C105" s="46"/>
      <c r="D105" s="46"/>
      <c r="E105" s="46"/>
      <c r="F105" s="47"/>
      <c r="G105" s="48"/>
      <c r="H105" s="89" t="e">
        <f aca="true" t="shared" si="13" ref="H105:N105">H103+H104</f>
        <v>#VALUE!</v>
      </c>
      <c r="I105" s="117">
        <f t="shared" si="13"/>
        <v>124094.607</v>
      </c>
      <c r="J105" s="124">
        <f t="shared" si="13"/>
        <v>118641.81818181818</v>
      </c>
      <c r="K105" s="211">
        <f t="shared" si="13"/>
        <v>123251</v>
      </c>
      <c r="L105" s="149">
        <f t="shared" si="13"/>
        <v>32.041518625525704</v>
      </c>
      <c r="M105" s="149">
        <f t="shared" si="13"/>
        <v>120358</v>
      </c>
      <c r="N105" s="149">
        <f t="shared" si="13"/>
        <v>26732</v>
      </c>
      <c r="O105" s="214">
        <f t="shared" si="11"/>
        <v>0.2006370502261652</v>
      </c>
      <c r="P105" s="237">
        <f>P103+P104</f>
        <v>133235.61111901686</v>
      </c>
      <c r="Q105" s="215">
        <f>Q103+Q104</f>
        <v>123004.18946840162</v>
      </c>
      <c r="R105" s="163">
        <v>130160.17522169891</v>
      </c>
      <c r="U105" s="129"/>
      <c r="V105" s="129"/>
      <c r="W105" s="129"/>
      <c r="X105" s="129"/>
      <c r="Y105" s="86"/>
      <c r="Z105" s="49"/>
      <c r="AA105" s="17"/>
    </row>
    <row r="106" spans="1:26" ht="13.5" thickBot="1" thickTop="1">
      <c r="A106" s="76"/>
      <c r="B106" s="50"/>
      <c r="C106" s="35" t="s">
        <v>111</v>
      </c>
      <c r="D106" s="35"/>
      <c r="E106" s="35"/>
      <c r="F106" s="51"/>
      <c r="G106" s="52"/>
      <c r="H106" s="64" t="e">
        <f>H33-H105</f>
        <v>#REF!</v>
      </c>
      <c r="I106" s="118">
        <f>I33-I105</f>
        <v>0.3929999999963911</v>
      </c>
      <c r="J106" s="151">
        <f>J33-J105</f>
        <v>203.18181818182347</v>
      </c>
      <c r="K106" s="92">
        <f>K33-K103</f>
        <v>4867</v>
      </c>
      <c r="L106" s="92">
        <f>L33-L103</f>
        <v>-13.554848291937724</v>
      </c>
      <c r="M106" s="92">
        <f>M33-M103</f>
        <v>8902</v>
      </c>
      <c r="N106" s="103">
        <f>N33-N103</f>
        <v>-1569.25</v>
      </c>
      <c r="O106" s="212">
        <f>N106/P105</f>
        <v>-0.011778007297149848</v>
      </c>
      <c r="P106" s="238">
        <f>P33-P105</f>
        <v>0.3888809831405524</v>
      </c>
      <c r="Q106" s="213">
        <f>Q33-Q105</f>
        <v>-0.18946840161515865</v>
      </c>
      <c r="R106" s="185">
        <v>13113.981212279206</v>
      </c>
      <c r="U106" s="51"/>
      <c r="V106" s="51"/>
      <c r="W106" s="51"/>
      <c r="X106" s="51"/>
      <c r="Y106" s="35"/>
      <c r="Z106" s="35"/>
    </row>
    <row r="107" spans="6:20" ht="12">
      <c r="F107" s="21"/>
      <c r="G107" s="34"/>
      <c r="I107" s="95"/>
      <c r="K107" s="51"/>
      <c r="Q107" s="95"/>
      <c r="R107" s="168">
        <v>0.1</v>
      </c>
      <c r="S107" s="55">
        <v>0.17</v>
      </c>
      <c r="T107" s="55">
        <v>0.73</v>
      </c>
    </row>
    <row r="108" spans="6:21" ht="12">
      <c r="F108" s="21"/>
      <c r="G108" s="34"/>
      <c r="R108" s="167">
        <f>R107*K106</f>
        <v>486.70000000000005</v>
      </c>
      <c r="S108" s="153">
        <f>S107*K106</f>
        <v>827.3900000000001</v>
      </c>
      <c r="T108" s="153">
        <f>T107*K106</f>
        <v>3552.91</v>
      </c>
      <c r="U108" s="129"/>
    </row>
    <row r="109" spans="6:21" ht="12">
      <c r="F109" s="21"/>
      <c r="G109" s="34"/>
      <c r="I109" s="13"/>
      <c r="Q109" s="98"/>
      <c r="R109" s="64">
        <f>-K24</f>
        <v>-3285</v>
      </c>
      <c r="S109" s="51">
        <f>-K23</f>
        <v>-5487</v>
      </c>
      <c r="T109" s="51">
        <f>-K22</f>
        <v>-24136</v>
      </c>
      <c r="U109" s="51" t="s">
        <v>138</v>
      </c>
    </row>
    <row r="110" spans="6:21" ht="12">
      <c r="F110" s="21"/>
      <c r="G110" s="34"/>
      <c r="R110" s="21">
        <v>-1894</v>
      </c>
      <c r="S110" s="21">
        <v>-3220</v>
      </c>
      <c r="T110" s="21">
        <v>-13826</v>
      </c>
      <c r="U110" s="21" t="s">
        <v>136</v>
      </c>
    </row>
    <row r="111" spans="6:21" ht="12">
      <c r="F111" s="21"/>
      <c r="G111" s="34"/>
      <c r="R111" s="126">
        <f>SUM(R108:R110)</f>
        <v>-4692.3</v>
      </c>
      <c r="S111" s="126">
        <f>SUM(S108:S110)</f>
        <v>-7879.61</v>
      </c>
      <c r="T111" s="126">
        <f>SUM(T108:T110)</f>
        <v>-34409.09</v>
      </c>
      <c r="U111" s="21" t="s">
        <v>137</v>
      </c>
    </row>
    <row r="112" spans="6:18" ht="12">
      <c r="F112" s="21"/>
      <c r="G112" s="34"/>
      <c r="R112" s="21">
        <f>K106-36894</f>
        <v>-32027</v>
      </c>
    </row>
    <row r="113" spans="6:7" ht="12">
      <c r="F113" s="21"/>
      <c r="G113" s="34"/>
    </row>
    <row r="114" spans="6:7" ht="12">
      <c r="F114" s="21"/>
      <c r="G114" s="34"/>
    </row>
    <row r="115" spans="6:7" ht="12">
      <c r="F115" s="21"/>
      <c r="G115" s="34"/>
    </row>
    <row r="116" spans="6:7" ht="12">
      <c r="F116" s="21"/>
      <c r="G116" s="34"/>
    </row>
    <row r="117" spans="6:7" ht="12">
      <c r="F117" s="21"/>
      <c r="G117" s="34"/>
    </row>
    <row r="118" spans="6:7" ht="12">
      <c r="F118" s="21"/>
      <c r="G118" s="34"/>
    </row>
    <row r="119" spans="6:7" ht="12">
      <c r="F119" s="21"/>
      <c r="G119" s="34"/>
    </row>
    <row r="120" spans="6:7" ht="12">
      <c r="F120" s="21"/>
      <c r="G120" s="34"/>
    </row>
    <row r="121" spans="6:7" ht="12">
      <c r="F121" s="21"/>
      <c r="G121" s="34"/>
    </row>
    <row r="122" spans="6:7" ht="12">
      <c r="F122" s="21"/>
      <c r="G122" s="34"/>
    </row>
    <row r="123" spans="6:7" ht="12">
      <c r="F123" s="21"/>
      <c r="G123" s="34"/>
    </row>
    <row r="124" spans="6:7" ht="12">
      <c r="F124" s="21"/>
      <c r="G124" s="34"/>
    </row>
    <row r="125" spans="6:7" ht="12">
      <c r="F125" s="21"/>
      <c r="G125" s="34"/>
    </row>
    <row r="126" spans="6:7" ht="12">
      <c r="F126" s="21"/>
      <c r="G126" s="34"/>
    </row>
    <row r="127" spans="6:7" ht="12">
      <c r="F127" s="21"/>
      <c r="G127" s="34"/>
    </row>
    <row r="128" spans="6:7" ht="12">
      <c r="F128" s="21"/>
      <c r="G128" s="34"/>
    </row>
    <row r="129" spans="6:7" ht="12">
      <c r="F129" s="21"/>
      <c r="G129" s="34"/>
    </row>
    <row r="130" spans="6:7" ht="12">
      <c r="F130" s="21"/>
      <c r="G130" s="34"/>
    </row>
    <row r="131" spans="6:7" ht="12">
      <c r="F131" s="21"/>
      <c r="G131" s="34"/>
    </row>
    <row r="132" spans="6:7" ht="12">
      <c r="F132" s="21"/>
      <c r="G132" s="34"/>
    </row>
    <row r="133" spans="6:7" ht="12">
      <c r="F133" s="21"/>
      <c r="G133" s="34"/>
    </row>
    <row r="134" spans="6:7" ht="12">
      <c r="F134" s="21"/>
      <c r="G134" s="34"/>
    </row>
    <row r="135" spans="6:7" ht="12">
      <c r="F135" s="21"/>
      <c r="G135" s="34"/>
    </row>
    <row r="136" spans="6:7" ht="12">
      <c r="F136" s="21"/>
      <c r="G136" s="34"/>
    </row>
    <row r="137" spans="6:7" ht="12">
      <c r="F137" s="21"/>
      <c r="G137" s="34"/>
    </row>
    <row r="138" spans="6:7" ht="12">
      <c r="F138" s="21"/>
      <c r="G138" s="34"/>
    </row>
    <row r="139" spans="6:7" ht="12">
      <c r="F139" s="21"/>
      <c r="G139" s="34"/>
    </row>
    <row r="140" spans="6:7" ht="12">
      <c r="F140" s="21"/>
      <c r="G140" s="34"/>
    </row>
    <row r="141" spans="6:7" ht="12">
      <c r="F141" s="21"/>
      <c r="G141" s="34"/>
    </row>
    <row r="142" spans="6:7" ht="12">
      <c r="F142" s="21"/>
      <c r="G142" s="34"/>
    </row>
    <row r="143" spans="6:7" ht="12">
      <c r="F143" s="21"/>
      <c r="G143" s="34"/>
    </row>
    <row r="144" spans="6:7" ht="12">
      <c r="F144" s="21"/>
      <c r="G144" s="34"/>
    </row>
    <row r="145" spans="6:7" ht="12">
      <c r="F145" s="21"/>
      <c r="G145" s="34"/>
    </row>
    <row r="146" spans="6:7" ht="12">
      <c r="F146" s="21"/>
      <c r="G146" s="34"/>
    </row>
    <row r="147" spans="6:7" ht="12">
      <c r="F147" s="21"/>
      <c r="G147" s="34"/>
    </row>
    <row r="148" spans="6:7" ht="12">
      <c r="F148" s="21"/>
      <c r="G148" s="34"/>
    </row>
    <row r="149" spans="6:7" ht="12">
      <c r="F149" s="21"/>
      <c r="G149" s="34"/>
    </row>
    <row r="150" spans="6:7" ht="12">
      <c r="F150" s="21"/>
      <c r="G150" s="34"/>
    </row>
    <row r="151" spans="6:7" ht="12">
      <c r="F151" s="21"/>
      <c r="G151" s="34"/>
    </row>
    <row r="152" spans="6:7" ht="12">
      <c r="F152" s="21"/>
      <c r="G152" s="34"/>
    </row>
    <row r="153" spans="6:7" ht="12">
      <c r="F153" s="21"/>
      <c r="G153" s="34"/>
    </row>
    <row r="154" spans="6:7" ht="12">
      <c r="F154" s="21"/>
      <c r="G154" s="34"/>
    </row>
    <row r="155" spans="6:7" ht="12">
      <c r="F155" s="21"/>
      <c r="G155" s="34"/>
    </row>
    <row r="156" spans="6:7" ht="12">
      <c r="F156" s="21"/>
      <c r="G156" s="34"/>
    </row>
    <row r="157" spans="6:7" ht="12">
      <c r="F157" s="21"/>
      <c r="G157" s="34"/>
    </row>
    <row r="158" spans="6:7" ht="12">
      <c r="F158" s="21"/>
      <c r="G158" s="34"/>
    </row>
    <row r="159" spans="6:7" ht="12">
      <c r="F159" s="21"/>
      <c r="G159" s="34"/>
    </row>
    <row r="160" spans="6:7" ht="12">
      <c r="F160" s="21"/>
      <c r="G160" s="34"/>
    </row>
    <row r="161" spans="6:7" ht="12">
      <c r="F161" s="21"/>
      <c r="G161" s="34"/>
    </row>
    <row r="162" spans="6:7" ht="12">
      <c r="F162" s="21"/>
      <c r="G162" s="34"/>
    </row>
    <row r="163" spans="6:7" ht="12">
      <c r="F163" s="21"/>
      <c r="G163" s="34"/>
    </row>
    <row r="164" spans="6:7" ht="12">
      <c r="F164" s="21"/>
      <c r="G164" s="34"/>
    </row>
    <row r="165" spans="6:7" ht="12">
      <c r="F165" s="21"/>
      <c r="G165" s="34"/>
    </row>
    <row r="166" spans="6:7" ht="12">
      <c r="F166" s="21"/>
      <c r="G166" s="34"/>
    </row>
    <row r="167" spans="6:7" ht="12">
      <c r="F167" s="21"/>
      <c r="G167" s="34"/>
    </row>
  </sheetData>
  <sheetProtection/>
  <printOptions gridLines="1"/>
  <pageMargins left="0.7" right="0.7" top="0.5" bottom="0.5" header="0.3" footer="0.3"/>
  <pageSetup fitToHeight="2" fitToWidth="1" horizontalDpi="600" verticalDpi="600" orientation="landscape" scale="79"/>
  <headerFooter alignWithMargins="0">
    <oddFooter>&amp;L&amp;K000000&amp;Z&amp;F &amp;A &amp;D &amp;T</oddFooter>
  </headerFooter>
  <rowBreaks count="1" manualBreakCount="1">
    <brk id="50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zoomScale="76" zoomScaleNormal="76" workbookViewId="0" topLeftCell="A1">
      <selection activeCell="J1" sqref="J1"/>
    </sheetView>
  </sheetViews>
  <sheetFormatPr defaultColWidth="11.57421875" defaultRowHeight="12.75"/>
  <cols>
    <col min="1" max="16384" width="11.421875" style="0" customWidth="1"/>
  </cols>
  <sheetData>
    <row r="1" spans="1:8" ht="12">
      <c r="A1" s="104"/>
      <c r="B1" t="s">
        <v>88</v>
      </c>
      <c r="E1" t="s">
        <v>113</v>
      </c>
      <c r="H1" t="s">
        <v>148</v>
      </c>
    </row>
    <row r="2" spans="1:13" ht="12">
      <c r="A2" s="14" t="s">
        <v>80</v>
      </c>
      <c r="B2" s="93" t="s">
        <v>108</v>
      </c>
      <c r="C2" s="93" t="s">
        <v>109</v>
      </c>
      <c r="D2" s="93" t="s">
        <v>101</v>
      </c>
      <c r="E2" s="93" t="s">
        <v>108</v>
      </c>
      <c r="F2" s="93" t="s">
        <v>109</v>
      </c>
      <c r="H2" s="93" t="s">
        <v>108</v>
      </c>
      <c r="I2" s="93" t="s">
        <v>109</v>
      </c>
      <c r="J2" s="93" t="s">
        <v>83</v>
      </c>
      <c r="K2" s="93" t="s">
        <v>32</v>
      </c>
      <c r="L2" s="93" t="s">
        <v>92</v>
      </c>
      <c r="M2" s="93" t="s">
        <v>154</v>
      </c>
    </row>
    <row r="3" spans="1:13" ht="12">
      <c r="A3" s="14" t="s">
        <v>81</v>
      </c>
      <c r="B3">
        <f>36*25.3*43</f>
        <v>39164.4</v>
      </c>
      <c r="C3">
        <f>25.3*36*9</f>
        <v>8197.2</v>
      </c>
      <c r="D3" s="15">
        <f>B3+C3</f>
        <v>47361.600000000006</v>
      </c>
      <c r="E3" s="15">
        <f>36*25.3*43</f>
        <v>39164.4</v>
      </c>
      <c r="F3" s="15">
        <f>25.3*36*9</f>
        <v>8197.2</v>
      </c>
      <c r="G3" s="15">
        <f>E3+F3</f>
        <v>47361.600000000006</v>
      </c>
      <c r="H3">
        <f>26.31*36*43</f>
        <v>40727.88</v>
      </c>
      <c r="I3" s="174">
        <f>26.31*1.03*36*9</f>
        <v>8780.1732</v>
      </c>
      <c r="J3" s="15">
        <f>H3+I3</f>
        <v>49508.053199999995</v>
      </c>
      <c r="K3" s="15">
        <f>J3*(0.0765+0.013+0.0214)</f>
        <v>5490.443099879999</v>
      </c>
      <c r="L3" s="15">
        <f>J3+K3</f>
        <v>54998.49629988</v>
      </c>
      <c r="M3" s="174">
        <f>L3/1872</f>
        <v>29.379538621730767</v>
      </c>
    </row>
    <row r="4" spans="1:13" ht="12">
      <c r="A4" s="14" t="s">
        <v>82</v>
      </c>
      <c r="B4">
        <f>28*16*1.03*35</f>
        <v>16150.4</v>
      </c>
      <c r="C4" s="15">
        <f>16*1.03*1.03*28*17</f>
        <v>8079.814399999999</v>
      </c>
      <c r="D4" s="15">
        <f>B4+C4</f>
        <v>24230.214399999997</v>
      </c>
      <c r="E4" s="15">
        <f>28*17.27*36</f>
        <v>17408.16</v>
      </c>
      <c r="F4" s="15">
        <f>17.27*28*17*1.03</f>
        <v>8467.135600000001</v>
      </c>
      <c r="G4" s="15">
        <f>E4+F4</f>
        <v>25875.2956</v>
      </c>
      <c r="H4">
        <f>17.92*39*28</f>
        <v>19568.640000000003</v>
      </c>
      <c r="I4" s="15">
        <f>17.92*1.03*13*28</f>
        <v>6718.566400000001</v>
      </c>
      <c r="J4" s="15">
        <f>H4+I4</f>
        <v>26287.206400000003</v>
      </c>
      <c r="K4" s="3">
        <f>Budget!P62+Budget!P63+(J4*0.0214)</f>
        <v>6525.446216959999</v>
      </c>
      <c r="L4" s="15">
        <f>J4+K4</f>
        <v>32812.652616960004</v>
      </c>
      <c r="M4" s="174">
        <f>L4/(52*28)</f>
        <v>22.536162511648353</v>
      </c>
    </row>
    <row r="5" spans="1:10" ht="12">
      <c r="A5" s="14" t="s">
        <v>103</v>
      </c>
      <c r="B5">
        <v>600</v>
      </c>
      <c r="C5">
        <v>300</v>
      </c>
      <c r="D5" s="15">
        <f>B5+C5</f>
        <v>900</v>
      </c>
      <c r="E5">
        <v>300</v>
      </c>
      <c r="F5">
        <v>300</v>
      </c>
      <c r="G5" s="15">
        <f>E5+F5</f>
        <v>600</v>
      </c>
      <c r="J5" s="15"/>
    </row>
    <row r="6" spans="1:10" ht="12">
      <c r="A6" s="14" t="s">
        <v>104</v>
      </c>
      <c r="B6" s="15">
        <v>600</v>
      </c>
      <c r="C6" s="15">
        <v>500</v>
      </c>
      <c r="D6" s="15">
        <f>B6+C6</f>
        <v>1100</v>
      </c>
      <c r="E6" s="15">
        <v>200</v>
      </c>
      <c r="F6" s="15">
        <v>200</v>
      </c>
      <c r="G6" s="15">
        <f>E6+F6</f>
        <v>400</v>
      </c>
      <c r="H6" s="15"/>
      <c r="I6" s="15"/>
      <c r="J6" s="15"/>
    </row>
    <row r="7" spans="1:10" ht="12">
      <c r="A7" s="14" t="s">
        <v>83</v>
      </c>
      <c r="B7" s="130">
        <f>SUM(B3:B6)</f>
        <v>56514.8</v>
      </c>
      <c r="C7" s="130">
        <f>SUM(C3:C6)</f>
        <v>17077.0144</v>
      </c>
      <c r="D7" s="15">
        <f>B7+C7</f>
        <v>73591.8144</v>
      </c>
      <c r="E7" s="131">
        <f>SUM(E3:E6)</f>
        <v>57072.56</v>
      </c>
      <c r="F7" s="131">
        <f>SUM(F3:F6)</f>
        <v>17164.335600000002</v>
      </c>
      <c r="G7" s="15">
        <f>E7+F7</f>
        <v>74236.8956</v>
      </c>
      <c r="H7" s="120"/>
      <c r="I7" s="120"/>
      <c r="J7" s="121"/>
    </row>
    <row r="9" spans="1:7" ht="12">
      <c r="A9" t="s">
        <v>32</v>
      </c>
      <c r="C9">
        <f>D9/D7</f>
        <v>0.08221023016385909</v>
      </c>
      <c r="D9">
        <v>6050</v>
      </c>
      <c r="G9">
        <v>6050</v>
      </c>
    </row>
    <row r="10" spans="1:7" ht="12">
      <c r="A10" s="93" t="s">
        <v>105</v>
      </c>
      <c r="C10">
        <f>D10/D7</f>
        <v>0.017665008134382945</v>
      </c>
      <c r="D10">
        <v>1300</v>
      </c>
      <c r="G10" s="3">
        <f>Budget!Q64</f>
        <v>1444.8</v>
      </c>
    </row>
    <row r="11" spans="1:7" ht="12">
      <c r="A11" t="s">
        <v>102</v>
      </c>
      <c r="C11">
        <f>D11/D7</f>
        <v>0.09306741593260676</v>
      </c>
      <c r="D11">
        <v>6849</v>
      </c>
      <c r="G11" s="3">
        <f>Budget!Q69</f>
        <v>6741.50701608</v>
      </c>
    </row>
    <row r="12" spans="1:7" ht="12">
      <c r="A12" t="s">
        <v>92</v>
      </c>
      <c r="D12" s="102">
        <f>(D9+D10+D11)/D7</f>
        <v>0.1929426542308488</v>
      </c>
      <c r="G12" s="15">
        <f>SUM(G9:G11)</f>
        <v>14236.30701608</v>
      </c>
    </row>
    <row r="13" spans="1:10" ht="12">
      <c r="A13" t="s">
        <v>86</v>
      </c>
      <c r="G13" s="102">
        <f>G12/G7</f>
        <v>0.19176861991626706</v>
      </c>
      <c r="J13" s="102"/>
    </row>
    <row r="14" ht="12">
      <c r="A14" t="s">
        <v>89</v>
      </c>
    </row>
    <row r="15" ht="12">
      <c r="A15" t="s">
        <v>87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Genie Dee Grantwriting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Genie</dc:creator>
  <cp:keywords/>
  <dc:description/>
  <cp:lastModifiedBy>Volunteer  Center</cp:lastModifiedBy>
  <cp:lastPrinted>2015-11-25T22:17:53Z</cp:lastPrinted>
  <dcterms:created xsi:type="dcterms:W3CDTF">2012-03-31T17:23:33Z</dcterms:created>
  <dcterms:modified xsi:type="dcterms:W3CDTF">2015-11-25T22:18:26Z</dcterms:modified>
  <cp:category/>
  <cp:version/>
  <cp:contentType/>
  <cp:contentStatus/>
</cp:coreProperties>
</file>